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defaultThemeVersion="124226"/>
  <mc:AlternateContent xmlns:mc="http://schemas.openxmlformats.org/markup-compatibility/2006">
    <mc:Choice Requires="x15">
      <x15ac:absPath xmlns:x15ac="http://schemas.microsoft.com/office/spreadsheetml/2010/11/ac" url="Z:\EEB\2 aktiv\28.400 Beratung Kommunen\00_28.401 PM-kommunale\KGA\Update 2025\"/>
    </mc:Choice>
  </mc:AlternateContent>
  <bookViews>
    <workbookView xWindow="0" yWindow="0" windowWidth="20790" windowHeight="12120" tabRatio="661" firstSheet="10" activeTab="17"/>
  </bookViews>
  <sheets>
    <sheet name="Deckblatt" sheetId="20" r:id="rId1"/>
    <sheet name="Punktevergabe" sheetId="5" r:id="rId2"/>
    <sheet name="A 1.3" sheetId="41" r:id="rId3"/>
    <sheet name="A 1.4" sheetId="42" r:id="rId4"/>
    <sheet name="A 1.5" sheetId="40" r:id="rId5"/>
    <sheet name="A 1.6" sheetId="38" r:id="rId6"/>
    <sheet name="A 1.7" sheetId="39" r:id="rId7"/>
    <sheet name="Komm. Beurteilung" sheetId="29" r:id="rId8"/>
    <sheet name="B1b " sheetId="44" state="hidden" r:id="rId9"/>
    <sheet name="B1b Graphik" sheetId="45" state="hidden" r:id="rId10"/>
    <sheet name="B 1.4 " sheetId="24" r:id="rId11"/>
    <sheet name="C 1.1" sheetId="43" r:id="rId12"/>
    <sheet name="C 1.2" sheetId="34" r:id="rId13"/>
    <sheet name="C 2.1" sheetId="10" r:id="rId14"/>
    <sheet name="D 1.1" sheetId="11" r:id="rId15"/>
    <sheet name="D 1.2" sheetId="37" r:id="rId16"/>
    <sheet name="D 1.3" sheetId="46" r:id="rId17"/>
    <sheet name="D 2.1" sheetId="12" r:id="rId18"/>
    <sheet name="D 2.2" sheetId="30" r:id="rId19"/>
  </sheets>
  <definedNames>
    <definedName name="a">#REF!</definedName>
    <definedName name="_xlnm.Print_Area" localSheetId="15">'D 1.2'!$A$1:$E$6</definedName>
    <definedName name="_xlnm.Print_Area" localSheetId="7">'Komm. Beurteilung'!$A$1:$G$77,'Komm. Beurteilung'!$A$82:$G$116,'Komm. Beurteilung'!$A$121:$G$155</definedName>
    <definedName name="Gebaeude">#REF!</definedName>
    <definedName name="Gebaeudetyp" localSheetId="15">#REF!</definedName>
    <definedName name="Gebaeudetyp">#REF!</definedName>
    <definedName name="Gebäudetyp" localSheetId="15">#REF!</definedName>
    <definedName name="Gebäudetyp">#REF!</definedName>
    <definedName name="Gemeinde">#REF!</definedName>
    <definedName name="Heizgradtage" localSheetId="15">#REF!</definedName>
    <definedName name="Heizgradtage">#REF!</definedName>
    <definedName name="HGT" localSheetId="15">#REF!</definedName>
    <definedName name="HGT">#REF!</definedName>
    <definedName name="Kommunen" localSheetId="15">#REF!</definedName>
    <definedName name="Kommunen">#REF!</definedName>
    <definedName name="Max" localSheetId="15">#REF!</definedName>
    <definedName name="Max">#REF!</definedName>
    <definedName name="Min" localSheetId="15">#REF!</definedName>
    <definedName name="Min">#REF!</definedName>
    <definedName name="Objekttyp">#REF!</definedName>
    <definedName name="Orte">#REF!</definedName>
    <definedName name="Planstand" localSheetId="15">#REF!</definedName>
    <definedName name="Planstand">#REF!</definedName>
    <definedName name="Punktemax" localSheetId="15">#REF!</definedName>
    <definedName name="Punktemax">#REF!</definedName>
    <definedName name="Punktemin" localSheetId="15">#REF!</definedName>
    <definedName name="Punktemin">#REF!</definedName>
    <definedName name="sfdgs" localSheetId="15">#REF!</definedName>
    <definedName name="sfdgs">#REF!</definedName>
    <definedName name="Z_900BB99C_5F12_4578_9AB6_A71D1D7EE1B7_.wvu.PrintArea" localSheetId="1" hidden="1">Punktevergabe!$C$1:$H$47</definedName>
    <definedName name="Z_900BB99C_5F12_4578_9AB6_A71D1D7EE1B7_.wvu.PrintTitles" localSheetId="1" hidden="1">Punktevergabe!$1:$12</definedName>
    <definedName name="Z_900BB99C_5F12_4578_9AB6_A71D1D7EE1B7_.wvu.Rows" localSheetId="1" hidden="1">Punktevergabe!$9:$9</definedName>
  </definedNames>
  <calcPr calcId="162913" iterate="1" iterateCount="1"/>
  <customWorkbookViews>
    <customWorkbookView name="Martin Brunn - Persönliche Ansicht" guid="{900BB99C-5F12-4578-9AB6-A71D1D7EE1B7}" mergeInterval="0" personalView="1" maximized="1" windowWidth="1396" windowHeight="88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9" i="5" l="1"/>
  <c r="F38" i="29" l="1"/>
  <c r="U16" i="5" l="1"/>
  <c r="R16" i="5"/>
  <c r="B31" i="12" l="1"/>
  <c r="B24" i="12"/>
  <c r="B23" i="12"/>
  <c r="B16" i="12"/>
  <c r="B15" i="12"/>
  <c r="B8" i="12"/>
  <c r="B7" i="12"/>
  <c r="B32" i="12"/>
  <c r="H5" i="37"/>
  <c r="B33" i="12" l="1"/>
  <c r="U45" i="5" s="1"/>
  <c r="B25" i="12"/>
  <c r="R45" i="5" s="1"/>
  <c r="B17" i="12"/>
  <c r="O45" i="5" s="1"/>
  <c r="B9" i="12"/>
  <c r="L45" i="5" s="1"/>
  <c r="D21" i="41"/>
  <c r="O16" i="5" l="1"/>
  <c r="L16" i="5"/>
  <c r="L13" i="5" s="1"/>
  <c r="L23" i="5"/>
  <c r="O32" i="5"/>
  <c r="F46" i="29" l="1"/>
  <c r="F37" i="29"/>
  <c r="F36" i="29"/>
  <c r="F18" i="29"/>
  <c r="F19" i="29"/>
  <c r="F20" i="29"/>
  <c r="F21" i="29"/>
  <c r="F22" i="29"/>
  <c r="F23" i="29"/>
  <c r="F24" i="29"/>
  <c r="F25" i="29"/>
  <c r="F26" i="29"/>
  <c r="F27" i="29"/>
  <c r="F28" i="29"/>
  <c r="F29" i="29"/>
  <c r="F30" i="29"/>
  <c r="F31" i="29"/>
  <c r="F32" i="29"/>
  <c r="F33" i="29"/>
  <c r="F34" i="29"/>
  <c r="F17" i="29"/>
  <c r="F12" i="29"/>
  <c r="F13" i="29"/>
  <c r="F14" i="29"/>
  <c r="F15" i="29"/>
  <c r="F11" i="29"/>
  <c r="F9" i="29"/>
  <c r="F8" i="29"/>
  <c r="F7" i="29"/>
  <c r="F6" i="29"/>
  <c r="C38" i="29"/>
  <c r="G38" i="29" l="1"/>
  <c r="K28" i="5"/>
  <c r="U43" i="5"/>
  <c r="C6" i="46" l="1"/>
  <c r="L43" i="5" s="1"/>
  <c r="B10" i="24"/>
  <c r="B9" i="24"/>
  <c r="R14" i="5"/>
  <c r="U14" i="5"/>
  <c r="O14" i="5"/>
  <c r="L14" i="5"/>
  <c r="B24" i="30"/>
  <c r="B18" i="30"/>
  <c r="B12" i="30"/>
  <c r="B6" i="30"/>
  <c r="A3" i="44"/>
  <c r="P95" i="45"/>
  <c r="P96" i="45"/>
  <c r="P97" i="45"/>
  <c r="P98" i="45"/>
  <c r="P99" i="45"/>
  <c r="P100" i="45"/>
  <c r="P101" i="45"/>
  <c r="P102" i="45"/>
  <c r="P103" i="45"/>
  <c r="P104" i="45"/>
  <c r="P105" i="45"/>
  <c r="P106" i="45"/>
  <c r="P107" i="45"/>
  <c r="P108" i="45"/>
  <c r="P109" i="45"/>
  <c r="P110" i="45"/>
  <c r="P111" i="45"/>
  <c r="P112" i="45"/>
  <c r="P113" i="45"/>
  <c r="P114" i="45"/>
  <c r="P115" i="45"/>
  <c r="P116" i="45"/>
  <c r="P117" i="45"/>
  <c r="P118" i="45"/>
  <c r="P119" i="45"/>
  <c r="P120" i="45"/>
  <c r="P121" i="45"/>
  <c r="P122" i="45"/>
  <c r="P123" i="45"/>
  <c r="P124" i="45"/>
  <c r="M95" i="45"/>
  <c r="M96" i="45"/>
  <c r="M97" i="45"/>
  <c r="M98" i="45"/>
  <c r="M99" i="45"/>
  <c r="M100" i="45"/>
  <c r="M101" i="45"/>
  <c r="M102" i="45"/>
  <c r="M103" i="45"/>
  <c r="M104" i="45"/>
  <c r="M105" i="45"/>
  <c r="M106" i="45"/>
  <c r="M107" i="45"/>
  <c r="M108" i="45"/>
  <c r="M109" i="45"/>
  <c r="M110" i="45"/>
  <c r="M111" i="45"/>
  <c r="M112" i="45"/>
  <c r="M113" i="45"/>
  <c r="M114" i="45"/>
  <c r="M115" i="45"/>
  <c r="M116" i="45"/>
  <c r="M117" i="45"/>
  <c r="M118" i="45"/>
  <c r="M119" i="45"/>
  <c r="M120" i="45"/>
  <c r="M121" i="45"/>
  <c r="M122" i="45"/>
  <c r="M123" i="45"/>
  <c r="M124" i="45"/>
  <c r="M125" i="45"/>
  <c r="M126" i="45"/>
  <c r="M127" i="45"/>
  <c r="M128" i="45"/>
  <c r="M129" i="45"/>
  <c r="M130" i="45"/>
  <c r="M131" i="45"/>
  <c r="M132" i="45"/>
  <c r="M133" i="45"/>
  <c r="M134" i="45"/>
  <c r="M135" i="45"/>
  <c r="M136" i="45"/>
  <c r="M137" i="45"/>
  <c r="M138" i="45"/>
  <c r="M139" i="45"/>
  <c r="M140" i="45"/>
  <c r="M141" i="45"/>
  <c r="M142" i="45"/>
  <c r="M143" i="45"/>
  <c r="M144" i="45"/>
  <c r="M145" i="45"/>
  <c r="M146" i="45"/>
  <c r="M147" i="45"/>
  <c r="M148" i="45"/>
  <c r="M149" i="45"/>
  <c r="M150" i="45"/>
  <c r="M151" i="45"/>
  <c r="M152" i="45"/>
  <c r="M153" i="45"/>
  <c r="M154" i="45"/>
  <c r="M155" i="45"/>
  <c r="M156" i="45"/>
  <c r="M157" i="45"/>
  <c r="M158" i="45"/>
  <c r="M159" i="45"/>
  <c r="M160" i="45"/>
  <c r="M161" i="45"/>
  <c r="M162" i="45"/>
  <c r="M163" i="45"/>
  <c r="M164" i="45"/>
  <c r="M165" i="45"/>
  <c r="M166" i="45"/>
  <c r="M167" i="45"/>
  <c r="M168" i="45"/>
  <c r="M169" i="45"/>
  <c r="M170" i="45"/>
  <c r="M171" i="45"/>
  <c r="M172" i="45"/>
  <c r="M173" i="45"/>
  <c r="M174" i="45"/>
  <c r="M175" i="45"/>
  <c r="M176" i="45"/>
  <c r="M177" i="45"/>
  <c r="M178" i="45"/>
  <c r="M179" i="45"/>
  <c r="M180" i="45"/>
  <c r="M181" i="45"/>
  <c r="M182" i="45"/>
  <c r="M183" i="45"/>
  <c r="M184" i="45"/>
  <c r="M185" i="45"/>
  <c r="M186" i="45"/>
  <c r="M187" i="45"/>
  <c r="M188" i="45"/>
  <c r="M189" i="45"/>
  <c r="M190" i="45"/>
  <c r="M191" i="45"/>
  <c r="M192" i="45"/>
  <c r="M193" i="45"/>
  <c r="M194" i="45"/>
  <c r="M195" i="45"/>
  <c r="M196" i="45"/>
  <c r="M197" i="45"/>
  <c r="M198" i="45"/>
  <c r="M199" i="45"/>
  <c r="M200" i="45"/>
  <c r="M201" i="45"/>
  <c r="M202" i="45"/>
  <c r="M203" i="45"/>
  <c r="M204" i="45"/>
  <c r="M205" i="45"/>
  <c r="M206" i="45"/>
  <c r="M207" i="45"/>
  <c r="M208" i="45"/>
  <c r="M209" i="45"/>
  <c r="M210" i="45"/>
  <c r="M211" i="45"/>
  <c r="M212" i="45"/>
  <c r="M213" i="45"/>
  <c r="M214" i="45"/>
  <c r="M215" i="45"/>
  <c r="M216" i="45"/>
  <c r="M217" i="45"/>
  <c r="M218" i="45"/>
  <c r="M219" i="45"/>
  <c r="M220" i="45"/>
  <c r="M221" i="45"/>
  <c r="M222" i="45"/>
  <c r="M223" i="45"/>
  <c r="M224" i="45"/>
  <c r="M225" i="45"/>
  <c r="M226" i="45"/>
  <c r="M227" i="45"/>
  <c r="M228" i="45"/>
  <c r="M229" i="45"/>
  <c r="M230" i="45"/>
  <c r="M231" i="45"/>
  <c r="M232" i="45"/>
  <c r="M233" i="45"/>
  <c r="M234" i="45"/>
  <c r="M235" i="45"/>
  <c r="M236" i="45"/>
  <c r="M237" i="45"/>
  <c r="M238" i="45"/>
  <c r="M239" i="45"/>
  <c r="M240" i="45"/>
  <c r="M241" i="45"/>
  <c r="M242" i="45"/>
  <c r="M243" i="45"/>
  <c r="M244" i="45"/>
  <c r="J95" i="45"/>
  <c r="J96" i="45"/>
  <c r="J97" i="45"/>
  <c r="J98" i="45"/>
  <c r="J99" i="45"/>
  <c r="J100" i="45"/>
  <c r="J101" i="45"/>
  <c r="J102" i="45"/>
  <c r="J103" i="45"/>
  <c r="J104" i="45"/>
  <c r="J105" i="45"/>
  <c r="J106" i="45"/>
  <c r="J107" i="45"/>
  <c r="J108" i="45"/>
  <c r="J109" i="45"/>
  <c r="J110" i="45"/>
  <c r="J111" i="45"/>
  <c r="J112" i="45"/>
  <c r="J113" i="45"/>
  <c r="J114" i="45"/>
  <c r="J115" i="45"/>
  <c r="J116" i="45"/>
  <c r="J117" i="45"/>
  <c r="J118" i="45"/>
  <c r="J119" i="45"/>
  <c r="J120" i="45"/>
  <c r="J121" i="45"/>
  <c r="J122" i="45"/>
  <c r="J123" i="45"/>
  <c r="J124" i="45"/>
  <c r="J125" i="45"/>
  <c r="J126" i="45"/>
  <c r="J127" i="45"/>
  <c r="J128" i="45"/>
  <c r="J129" i="45"/>
  <c r="J130" i="45"/>
  <c r="J131" i="45"/>
  <c r="J132" i="45"/>
  <c r="J133" i="45"/>
  <c r="J134" i="45"/>
  <c r="G95" i="45"/>
  <c r="G96" i="45"/>
  <c r="G97" i="45"/>
  <c r="G98" i="45"/>
  <c r="G99" i="45"/>
  <c r="G100" i="45"/>
  <c r="G101" i="45"/>
  <c r="G102" i="45"/>
  <c r="G103" i="45"/>
  <c r="G104" i="45"/>
  <c r="G105" i="45"/>
  <c r="G106" i="45"/>
  <c r="G107" i="45"/>
  <c r="G108" i="45"/>
  <c r="G109" i="45"/>
  <c r="G110" i="45"/>
  <c r="G111" i="45"/>
  <c r="G112" i="45"/>
  <c r="G113" i="45"/>
  <c r="G114" i="45"/>
  <c r="G115" i="45"/>
  <c r="G116" i="45"/>
  <c r="G117" i="45"/>
  <c r="G118" i="45"/>
  <c r="G119" i="45"/>
  <c r="G120" i="45"/>
  <c r="G121" i="45"/>
  <c r="G122" i="45"/>
  <c r="G123" i="45"/>
  <c r="G124" i="45"/>
  <c r="G125" i="45"/>
  <c r="G126" i="45"/>
  <c r="G127" i="45"/>
  <c r="G128" i="45"/>
  <c r="G129" i="45"/>
  <c r="D95" i="45"/>
  <c r="D96" i="45"/>
  <c r="D97" i="45"/>
  <c r="D98" i="45"/>
  <c r="D99" i="45"/>
  <c r="D100" i="45"/>
  <c r="D101" i="45"/>
  <c r="D102" i="45"/>
  <c r="D103" i="45"/>
  <c r="D104" i="45"/>
  <c r="D105" i="45"/>
  <c r="D106" i="45"/>
  <c r="D107" i="45"/>
  <c r="D108" i="45"/>
  <c r="D109" i="45"/>
  <c r="D110" i="45"/>
  <c r="D111" i="45"/>
  <c r="D112" i="45"/>
  <c r="D113" i="45"/>
  <c r="D114" i="45"/>
  <c r="D115" i="45"/>
  <c r="D116" i="45"/>
  <c r="D117" i="45"/>
  <c r="D118" i="45"/>
  <c r="D119" i="45"/>
  <c r="D120" i="45"/>
  <c r="D121" i="45"/>
  <c r="D122" i="45"/>
  <c r="D123" i="45"/>
  <c r="D124" i="45"/>
  <c r="D125" i="45"/>
  <c r="D126" i="45"/>
  <c r="D127" i="45"/>
  <c r="D128" i="45"/>
  <c r="D129" i="45"/>
  <c r="D130" i="45"/>
  <c r="D131" i="45"/>
  <c r="D132" i="45"/>
  <c r="D133" i="45"/>
  <c r="D134" i="45"/>
  <c r="D135" i="45"/>
  <c r="D136" i="45"/>
  <c r="D137" i="45"/>
  <c r="D138" i="45"/>
  <c r="D139" i="45"/>
  <c r="D140" i="45"/>
  <c r="D141" i="45"/>
  <c r="D142" i="45"/>
  <c r="D143" i="45"/>
  <c r="D144" i="45"/>
  <c r="D145" i="45"/>
  <c r="D146" i="45"/>
  <c r="D147" i="45"/>
  <c r="D148" i="45"/>
  <c r="D149" i="45"/>
  <c r="D150" i="45"/>
  <c r="D151" i="45"/>
  <c r="D152" i="45"/>
  <c r="D153" i="45"/>
  <c r="D154" i="45"/>
  <c r="D155" i="45"/>
  <c r="D156" i="45"/>
  <c r="D157" i="45"/>
  <c r="D158" i="45"/>
  <c r="D159" i="45"/>
  <c r="D160" i="45"/>
  <c r="D161" i="45"/>
  <c r="D162" i="45"/>
  <c r="D163" i="45"/>
  <c r="D164" i="45"/>
  <c r="D165" i="45"/>
  <c r="D166" i="45"/>
  <c r="D167" i="45"/>
  <c r="D168" i="45"/>
  <c r="D169" i="45"/>
  <c r="D170" i="45"/>
  <c r="D171" i="45"/>
  <c r="P94" i="45"/>
  <c r="M94" i="45"/>
  <c r="J94" i="45"/>
  <c r="G94" i="45"/>
  <c r="D94" i="45"/>
  <c r="O43" i="5" l="1"/>
  <c r="R43" i="5"/>
  <c r="H43" i="5" s="1"/>
  <c r="G17" i="44"/>
  <c r="G16" i="44"/>
  <c r="G15" i="44"/>
  <c r="G14" i="44"/>
  <c r="G13" i="44"/>
  <c r="G12" i="44"/>
  <c r="G11" i="44"/>
  <c r="G27" i="44" s="1"/>
  <c r="B27" i="44" s="1"/>
  <c r="G10" i="44"/>
  <c r="G9" i="44"/>
  <c r="G8" i="44"/>
  <c r="G7" i="44"/>
  <c r="G6" i="44"/>
  <c r="G25" i="44" s="1"/>
  <c r="B25" i="44" s="1"/>
  <c r="G5" i="44"/>
  <c r="G4" i="44"/>
  <c r="C6" i="37"/>
  <c r="L34" i="5"/>
  <c r="C21" i="43"/>
  <c r="O34" i="5" s="1"/>
  <c r="C12" i="43"/>
  <c r="D9" i="43"/>
  <c r="D8" i="43"/>
  <c r="D7" i="43"/>
  <c r="L6" i="43"/>
  <c r="L7" i="43" s="1"/>
  <c r="D6" i="43"/>
  <c r="E37" i="42"/>
  <c r="E30" i="42"/>
  <c r="E26" i="42"/>
  <c r="E18" i="42"/>
  <c r="E9" i="42"/>
  <c r="G5" i="42"/>
  <c r="G15" i="42" s="1"/>
  <c r="H19" i="5"/>
  <c r="D7" i="40"/>
  <c r="D6" i="39"/>
  <c r="H21" i="5" s="1"/>
  <c r="O21" i="5" s="1"/>
  <c r="E14" i="38"/>
  <c r="E11" i="38"/>
  <c r="E9" i="38"/>
  <c r="E7" i="38"/>
  <c r="E15" i="38" l="1"/>
  <c r="H20" i="5" s="1"/>
  <c r="L20" i="5" s="1"/>
  <c r="G24" i="44"/>
  <c r="B24" i="44" s="1"/>
  <c r="G23" i="44"/>
  <c r="B23" i="44" s="1"/>
  <c r="G22" i="44"/>
  <c r="B22" i="44" s="1"/>
  <c r="D12" i="42"/>
  <c r="D11" i="42"/>
  <c r="E15" i="42"/>
  <c r="E38" i="42" s="1"/>
  <c r="D14" i="42"/>
  <c r="H10" i="42"/>
  <c r="D15" i="42"/>
  <c r="D13" i="42"/>
  <c r="G12" i="42"/>
  <c r="G10" i="42"/>
  <c r="D10" i="42"/>
  <c r="H12" i="42"/>
  <c r="L21" i="5"/>
  <c r="H17" i="5" l="1"/>
  <c r="O17" i="5"/>
  <c r="L17" i="5"/>
  <c r="U17" i="5"/>
  <c r="R17" i="5"/>
  <c r="O20" i="5"/>
  <c r="G29" i="44"/>
  <c r="B29" i="44" s="1"/>
  <c r="G28" i="44"/>
  <c r="B28" i="44" s="1"/>
  <c r="G26" i="44"/>
  <c r="B26" i="44" s="1"/>
  <c r="L42" i="5" l="1"/>
  <c r="U42" i="5" l="1"/>
  <c r="R42" i="5"/>
  <c r="O42" i="5"/>
  <c r="O19" i="5"/>
  <c r="L19" i="5"/>
  <c r="D22" i="11" l="1"/>
  <c r="D13" i="10" l="1"/>
  <c r="L37" i="5" l="1"/>
  <c r="C6" i="34" l="1"/>
  <c r="L35" i="5" l="1"/>
  <c r="L36" i="5"/>
  <c r="U32" i="5" l="1"/>
  <c r="R32" i="5"/>
  <c r="U15" i="5" l="1"/>
  <c r="R15" i="5"/>
  <c r="O15" i="5"/>
  <c r="L15" i="5"/>
  <c r="L41" i="5" l="1"/>
  <c r="L40" i="5" s="1"/>
  <c r="U41" i="5" l="1"/>
  <c r="U40" i="5" s="1"/>
  <c r="R41" i="5"/>
  <c r="R40" i="5" s="1"/>
  <c r="O41" i="5"/>
  <c r="O40" i="5" s="1"/>
  <c r="U46" i="5" l="1"/>
  <c r="U44" i="5" s="1"/>
  <c r="U39" i="5" s="1"/>
  <c r="R46" i="5"/>
  <c r="R44" i="5" s="1"/>
  <c r="R39" i="5" s="1"/>
  <c r="O46" i="5"/>
  <c r="O44" i="5" l="1"/>
  <c r="O39" i="5" s="1"/>
  <c r="L46" i="5"/>
  <c r="L44" i="5" s="1"/>
  <c r="C46" i="5" l="1"/>
  <c r="O33" i="5" l="1"/>
  <c r="F154" i="29"/>
  <c r="F153" i="29"/>
  <c r="F135" i="29"/>
  <c r="F136" i="29"/>
  <c r="F137" i="29"/>
  <c r="F138" i="29"/>
  <c r="F139" i="29"/>
  <c r="F140" i="29"/>
  <c r="F141" i="29"/>
  <c r="F142" i="29"/>
  <c r="F143" i="29"/>
  <c r="F144" i="29"/>
  <c r="F145" i="29"/>
  <c r="F146" i="29"/>
  <c r="F147" i="29"/>
  <c r="F148" i="29"/>
  <c r="F149" i="29"/>
  <c r="F150" i="29"/>
  <c r="F151" i="29"/>
  <c r="F134" i="29"/>
  <c r="F129" i="29"/>
  <c r="F130" i="29"/>
  <c r="F131" i="29"/>
  <c r="F132" i="29"/>
  <c r="F128" i="29"/>
  <c r="F124" i="29"/>
  <c r="F125" i="29"/>
  <c r="F126" i="29"/>
  <c r="F123" i="29"/>
  <c r="F115" i="29"/>
  <c r="F114" i="29"/>
  <c r="F96" i="29"/>
  <c r="F97" i="29"/>
  <c r="F98" i="29"/>
  <c r="F99" i="29"/>
  <c r="F100" i="29"/>
  <c r="F116" i="29" s="1"/>
  <c r="F101" i="29"/>
  <c r="F102" i="29"/>
  <c r="F103" i="29"/>
  <c r="F104" i="29"/>
  <c r="F105" i="29"/>
  <c r="F106" i="29"/>
  <c r="F107" i="29"/>
  <c r="F108" i="29"/>
  <c r="F109" i="29"/>
  <c r="F110" i="29"/>
  <c r="F111" i="29"/>
  <c r="F112" i="29"/>
  <c r="F95" i="29"/>
  <c r="F90" i="29"/>
  <c r="F91" i="29"/>
  <c r="F92" i="29"/>
  <c r="F93" i="29"/>
  <c r="F89" i="29"/>
  <c r="F85" i="29"/>
  <c r="F86" i="29"/>
  <c r="F87" i="29"/>
  <c r="F84" i="29"/>
  <c r="F155" i="29" l="1"/>
  <c r="G155" i="29" s="1"/>
  <c r="G116" i="29" l="1"/>
  <c r="T28" i="5"/>
  <c r="Q28" i="5"/>
  <c r="F75" i="29" l="1"/>
  <c r="F73" i="29"/>
  <c r="F72" i="29"/>
  <c r="F71" i="29"/>
  <c r="F70" i="29"/>
  <c r="F69" i="29"/>
  <c r="F68" i="29"/>
  <c r="F67" i="29"/>
  <c r="F66" i="29"/>
  <c r="F65" i="29"/>
  <c r="F64" i="29"/>
  <c r="F63" i="29"/>
  <c r="F62" i="29"/>
  <c r="F61" i="29"/>
  <c r="F60" i="29"/>
  <c r="F59" i="29"/>
  <c r="F58" i="29"/>
  <c r="F57" i="29"/>
  <c r="F56" i="29"/>
  <c r="F50" i="29"/>
  <c r="F77" i="29" s="1"/>
  <c r="C155" i="29" l="1"/>
  <c r="F47" i="29"/>
  <c r="F76" i="29"/>
  <c r="C116" i="29"/>
  <c r="F52" i="29"/>
  <c r="C77" i="29"/>
  <c r="F53" i="29"/>
  <c r="F48" i="29"/>
  <c r="F45" i="29"/>
  <c r="F54" i="29"/>
  <c r="F51" i="29"/>
  <c r="G77" i="29" l="1"/>
  <c r="D9" i="5"/>
  <c r="H16" i="5" s="1"/>
  <c r="G13" i="5" l="1"/>
  <c r="H13" i="5" s="1"/>
  <c r="H35" i="5"/>
  <c r="H42" i="5"/>
  <c r="G39" i="5"/>
  <c r="H37" i="5"/>
  <c r="G33" i="5"/>
  <c r="G36" i="5"/>
  <c r="G32" i="5"/>
  <c r="N28" i="5"/>
  <c r="G40" i="5"/>
  <c r="G44" i="5"/>
  <c r="H41" i="5"/>
  <c r="H45" i="5"/>
  <c r="H46" i="5"/>
  <c r="G23" i="5"/>
  <c r="H40" i="5" l="1"/>
  <c r="H44" i="5"/>
  <c r="H36" i="5"/>
  <c r="B11" i="24"/>
  <c r="AV1" i="5"/>
  <c r="AQ1" i="5"/>
  <c r="AL1" i="5"/>
  <c r="AG1" i="5"/>
  <c r="AB1" i="5"/>
  <c r="W1" i="5"/>
  <c r="C24" i="5"/>
  <c r="C27" i="5"/>
  <c r="C28" i="5"/>
  <c r="C29" i="5"/>
  <c r="C30" i="5"/>
  <c r="C33" i="5"/>
  <c r="D34" i="5"/>
  <c r="E34" i="5"/>
  <c r="C44" i="5"/>
  <c r="C45" i="5"/>
  <c r="L33" i="5" l="1"/>
  <c r="L32" i="5" s="1"/>
  <c r="H34" i="5"/>
  <c r="H33" i="5" s="1"/>
  <c r="H32" i="5" s="1"/>
  <c r="H39" i="5"/>
  <c r="B13" i="24"/>
  <c r="L29" i="5" s="1"/>
  <c r="U29" i="5" l="1"/>
  <c r="U23" i="5" s="1"/>
  <c r="R29" i="5"/>
  <c r="R23" i="5" s="1"/>
  <c r="O29" i="5"/>
  <c r="O23" i="5" l="1"/>
  <c r="H23" i="5"/>
  <c r="O13" i="5" l="1"/>
  <c r="U13" i="5"/>
  <c r="R13" i="5"/>
  <c r="H9" i="5"/>
  <c r="H47" i="5"/>
  <c r="G9" i="5"/>
  <c r="B20" i="20" s="1"/>
</calcChain>
</file>

<file path=xl/sharedStrings.xml><?xml version="1.0" encoding="utf-8"?>
<sst xmlns="http://schemas.openxmlformats.org/spreadsheetml/2006/main" count="800" uniqueCount="420">
  <si>
    <t xml:space="preserve">Projektdaten </t>
  </si>
  <si>
    <t>Genaue Bezeichnung des Bauvorhabens</t>
  </si>
  <si>
    <t>Objekttyp</t>
  </si>
  <si>
    <t>Standortgemeinde</t>
  </si>
  <si>
    <t>Funktion des Gebäudes</t>
  </si>
  <si>
    <t>Architekt</t>
  </si>
  <si>
    <t>Baubeginn</t>
  </si>
  <si>
    <t>Zeitpunkt der Fertigstellung</t>
  </si>
  <si>
    <t>Minuspunkte (Bagatellverletzung, Mindestanforderungen bei isoliert stehendem Gebäude nicht erfüllt)</t>
  </si>
  <si>
    <t>KGA-Bewertungspunkte</t>
  </si>
  <si>
    <t>KGA -Prüfer</t>
  </si>
  <si>
    <t>Genaue Firmenbezeichnung des KGA-Prüfers</t>
  </si>
  <si>
    <t>Name des KGA Prüfers</t>
  </si>
  <si>
    <t xml:space="preserve">KGA - Erstelldatum </t>
  </si>
  <si>
    <t>Datum</t>
  </si>
  <si>
    <t>Firmen-Stampiglie und Unterschrift</t>
  </si>
  <si>
    <t>Projekt</t>
  </si>
  <si>
    <t>Stand 1</t>
  </si>
  <si>
    <t>Stand 2</t>
  </si>
  <si>
    <t>Stand 3</t>
  </si>
  <si>
    <t>Stand 4</t>
  </si>
  <si>
    <t>Stand 5</t>
  </si>
  <si>
    <t>Stand 6</t>
  </si>
  <si>
    <r>
      <rPr>
        <b/>
        <u/>
        <sz val="14"/>
        <rFont val="Arial"/>
        <family val="2"/>
      </rPr>
      <t xml:space="preserve">Volumen </t>
    </r>
    <r>
      <rPr>
        <b/>
        <u/>
        <sz val="11"/>
        <rFont val="Arial"/>
        <family val="2"/>
      </rPr>
      <t>(überbaute Volumen bzw. falls vorhanden konditioniertes Volumen)</t>
    </r>
  </si>
  <si>
    <t>Anmerkungen:</t>
  </si>
  <si>
    <t>vollkonditioniert</t>
  </si>
  <si>
    <r>
      <t>m</t>
    </r>
    <r>
      <rPr>
        <b/>
        <sz val="18"/>
        <rFont val="Arial"/>
        <family val="2"/>
      </rPr>
      <t>³</t>
    </r>
  </si>
  <si>
    <t>Eingabefelder</t>
  </si>
  <si>
    <t>Rechenfelder</t>
  </si>
  <si>
    <t>unkonditioniert (offen)</t>
  </si>
  <si>
    <t>Gesamt</t>
  </si>
  <si>
    <t>Summe</t>
  </si>
  <si>
    <t>Teilbepunktung</t>
  </si>
  <si>
    <t>Stand:</t>
  </si>
  <si>
    <t>Vollkonditioniert</t>
  </si>
  <si>
    <t>unkonditioniert
(offen)</t>
  </si>
  <si>
    <t>Nr.</t>
  </si>
  <si>
    <t>Titel</t>
  </si>
  <si>
    <t>max. Punktzahl</t>
  </si>
  <si>
    <t>erreichte Punkte</t>
  </si>
  <si>
    <t>Punkte</t>
  </si>
  <si>
    <t>A</t>
  </si>
  <si>
    <t>Prozess- und Planungsqualität</t>
  </si>
  <si>
    <t>vereinfachte Berechnung Wirtschaftlichkeit</t>
  </si>
  <si>
    <t>Produktmanagement - Einsatz regionaler, schadstoffarmer und emissionsarmer Bauprodukte und Konstruktionen</t>
  </si>
  <si>
    <t>1.</t>
  </si>
  <si>
    <t>Biodiversität und Klimafolgenanpassung</t>
  </si>
  <si>
    <t>Nicht relevant im KGA minderbeheizte Gebäude</t>
  </si>
  <si>
    <t>Haustechnik-Konzept</t>
  </si>
  <si>
    <t>max. 30</t>
  </si>
  <si>
    <t>Reinigungs- und Instandhaltungsfreundlichkeit</t>
  </si>
  <si>
    <t>Regenwassernutzung</t>
  </si>
  <si>
    <t>B</t>
  </si>
  <si>
    <t>b</t>
  </si>
  <si>
    <t>Energie und Versorgung</t>
  </si>
  <si>
    <t>1.1b</t>
  </si>
  <si>
    <r>
      <t>Heizwärmebedarf HWB</t>
    </r>
    <r>
      <rPr>
        <b/>
        <vertAlign val="subscript"/>
        <sz val="10"/>
        <rFont val="Arial"/>
        <family val="2"/>
      </rPr>
      <t>SK</t>
    </r>
  </si>
  <si>
    <t xml:space="preserve">Punkte werden im Blatt 
"Komm. Beurteilung" 
vergeben: </t>
  </si>
  <si>
    <t>1.2b</t>
  </si>
  <si>
    <r>
      <t>LEK</t>
    </r>
    <r>
      <rPr>
        <b/>
        <vertAlign val="subscript"/>
        <sz val="10"/>
        <rFont val="Arial"/>
        <family val="2"/>
      </rPr>
      <t>T</t>
    </r>
    <r>
      <rPr>
        <b/>
        <sz val="10"/>
        <rFont val="Arial"/>
        <family val="2"/>
      </rPr>
      <t>-Wert</t>
    </r>
  </si>
  <si>
    <t>2b</t>
  </si>
  <si>
    <r>
      <t>Kühlbedarf KB</t>
    </r>
    <r>
      <rPr>
        <b/>
        <vertAlign val="subscript"/>
        <sz val="10"/>
        <rFont val="Arial"/>
        <family val="2"/>
      </rPr>
      <t>SK</t>
    </r>
  </si>
  <si>
    <t>3b</t>
  </si>
  <si>
    <r>
      <t>Primärenergiebedarf  PEB</t>
    </r>
    <r>
      <rPr>
        <b/>
        <vertAlign val="subscript"/>
        <sz val="10"/>
        <color indexed="8"/>
        <rFont val="Arial"/>
        <family val="2"/>
      </rPr>
      <t>SK</t>
    </r>
  </si>
  <si>
    <t>4b</t>
  </si>
  <si>
    <r>
      <t>Emissionen CO</t>
    </r>
    <r>
      <rPr>
        <b/>
        <vertAlign val="subscript"/>
        <sz val="10"/>
        <rFont val="Arial"/>
        <family val="2"/>
      </rPr>
      <t>2</t>
    </r>
    <r>
      <rPr>
        <b/>
        <sz val="10"/>
        <rFont val="Arial"/>
        <family val="2"/>
      </rPr>
      <t xml:space="preserve">-Äquivalente </t>
    </r>
  </si>
  <si>
    <t>5b</t>
  </si>
  <si>
    <t>Nutzung erneuerbarer Energiequellen</t>
  </si>
  <si>
    <t>6b</t>
  </si>
  <si>
    <r>
      <t xml:space="preserve">differenzierte Verbrauchserfassung </t>
    </r>
    <r>
      <rPr>
        <b/>
        <i/>
        <sz val="8"/>
        <color rgb="FFFF0000"/>
        <rFont val="Arial"/>
        <family val="2"/>
      </rPr>
      <t>(MUSSKRITERIUM)</t>
    </r>
  </si>
  <si>
    <t>C</t>
  </si>
  <si>
    <t>Gesundheit und Komfort</t>
  </si>
  <si>
    <t xml:space="preserve">Thermischer Komfort </t>
  </si>
  <si>
    <t>Thermischer Komfort im Sommer</t>
  </si>
  <si>
    <t>Maßnahmen zur Sicherstellung komfortabler Raumfeuchte</t>
  </si>
  <si>
    <t>Raumluftqualität</t>
  </si>
  <si>
    <t xml:space="preserve">Messung Raumluftqualität </t>
  </si>
  <si>
    <t xml:space="preserve"> </t>
  </si>
  <si>
    <t>D</t>
  </si>
  <si>
    <t xml:space="preserve">Baustoffe und Konstruktion </t>
  </si>
  <si>
    <t>Vermeidung kritischer Stoffe und Kreislaufwirtschaft</t>
  </si>
  <si>
    <t>Einsatz von Recyclingbeton</t>
  </si>
  <si>
    <t>Ökologie der Baustoffe und Konstruktionen</t>
  </si>
  <si>
    <r>
      <t>Entsorgungsindikator (EI</t>
    </r>
    <r>
      <rPr>
        <b/>
        <vertAlign val="subscript"/>
        <sz val="10"/>
        <color indexed="8"/>
        <rFont val="Arial"/>
        <family val="2"/>
      </rPr>
      <t>10</t>
    </r>
    <r>
      <rPr>
        <b/>
        <sz val="10"/>
        <color indexed="8"/>
        <rFont val="Arial"/>
        <family val="2"/>
      </rPr>
      <t xml:space="preserve">) </t>
    </r>
  </si>
  <si>
    <t>Kriterium</t>
  </si>
  <si>
    <t>Auswertung</t>
  </si>
  <si>
    <t>1. Ökologische Bauteiloptimierung in der Planung</t>
  </si>
  <si>
    <t>Eingabe Dach- und Grundfläche</t>
  </si>
  <si>
    <t>Flächen</t>
  </si>
  <si>
    <t>Bestimmung des Anteils der begrünbaren Dachfläche an der Gesamtdachfläche. Es ist jeweils die projezierte Dachfläche anzusetzen.</t>
  </si>
  <si>
    <t xml:space="preserve">Größe der begrünbaren projezierten Dachflächen </t>
  </si>
  <si>
    <r>
      <t>m</t>
    </r>
    <r>
      <rPr>
        <vertAlign val="superscript"/>
        <sz val="10"/>
        <rFont val="Arial"/>
        <family val="2"/>
      </rPr>
      <t>2</t>
    </r>
  </si>
  <si>
    <t xml:space="preserve">Größe der projezierten Dachflächen </t>
  </si>
  <si>
    <t>Was</t>
  </si>
  <si>
    <t>Maßnahme</t>
  </si>
  <si>
    <t>Zielerreichung</t>
  </si>
  <si>
    <t>Punkte (gesamt Max. 60)</t>
  </si>
  <si>
    <t>Fachberatung</t>
  </si>
  <si>
    <t>Fachberatung für eine naturnahe und naturverträgliche Gebäude- und Außengestaltung</t>
  </si>
  <si>
    <t>Beratungsprotokoll</t>
  </si>
  <si>
    <t>Nachweis: Beratungsprotokoll</t>
  </si>
  <si>
    <t>Max. 4</t>
  </si>
  <si>
    <t>Dachbegrünung</t>
  </si>
  <si>
    <t xml:space="preserve">&gt; 75 % Anteil an allen begrünbaren Dächern </t>
  </si>
  <si>
    <t>50 - 75 % Anteil an allen begrünbaren Dächern</t>
  </si>
  <si>
    <t>Gründach mit &lt; 14 cm Substratdicke 
(trockenheitsverträgliche Vegetation)</t>
  </si>
  <si>
    <t>&gt; 75 % Anteil an allen begrünbaren Dächern</t>
  </si>
  <si>
    <t>Strukturen und Elemente am Gründach</t>
  </si>
  <si>
    <t>Statisch angepasste
Modellierung der Substrathöhen (&gt;20 cm auf 5% der begrünten Dachfläche) + eine der folgenden Maßnahmen: 
• Totholzbereiche (&gt; 2 m² Grundfläche) 
• Sand- oder Wandkieslinsen (&gt; 2 m² Grundfläche)
• Wasserflächen, Tümpel &gt; 2 m²
• Verwendung von autochthonem Saatgut</t>
  </si>
  <si>
    <t>Nachweis: siehe KGA Erläuterungen</t>
  </si>
  <si>
    <t>Vertikalbegrünung</t>
  </si>
  <si>
    <t>mehr als eine Gebäudefassade begrünt</t>
  </si>
  <si>
    <t>bis zu einer Gebäudefassade begrünt oder entsprechend ein anderes Bauwerk</t>
  </si>
  <si>
    <t>Max. 5</t>
  </si>
  <si>
    <t>Naturnahe Außenflächen</t>
  </si>
  <si>
    <t xml:space="preserve">Erhalt und / oder Schaffung landschaftsprägender und naturnaher Elemente </t>
  </si>
  <si>
    <t xml:space="preserve">Von mindestens zwei heimischen bzw. südeuropäischen Laub- oder Obstbäumen </t>
  </si>
  <si>
    <t>Von Trockensteinmauern (Länge &gt; 3 m), Natursteinhaufen (&gt; 3 m² Grundfläche) oder Totholzelemente (Benjeshecke, Wurzelstöcke, Baumstämme)</t>
  </si>
  <si>
    <t>Max. 12</t>
  </si>
  <si>
    <t>Artenschutz</t>
  </si>
  <si>
    <t>Artenschutz am Gebäude</t>
  </si>
  <si>
    <t>Vogelsichere Gestaltung der Glasflächen</t>
  </si>
  <si>
    <t>Insektenfreundliche Lichtgestaltung</t>
  </si>
  <si>
    <t>Erhalt oder Schaffung von Quartieren für gebäudebrütende Wildtiere</t>
  </si>
  <si>
    <t>Max. 6</t>
  </si>
  <si>
    <t>Klimawandelanpassung am Gebäude und im Außenraum</t>
  </si>
  <si>
    <t xml:space="preserve">Erhalt und / oder Schaffung von unversiegelten, versickerungsfähigen Außenflächen (inkl. Parkplätze) </t>
  </si>
  <si>
    <t>&gt; 80  % Anteil der Außenfläche sind unversiegelt</t>
  </si>
  <si>
    <t>60 - 80 % Anteil des Außenfläche sind unversiegelt</t>
  </si>
  <si>
    <t>40 - 60 % Anteil des Außenfläche sind unversiegelt</t>
  </si>
  <si>
    <t xml:space="preserve">Naturnah gestaltete Sickerbecken, Mulden oder Gerinne zur temporären Wasserrückhaltung </t>
  </si>
  <si>
    <t>Schutz vor Überschwemmungen</t>
  </si>
  <si>
    <t xml:space="preserve">Darstellung der Fließwege des Niederschlagswassers auf dem Grundstück durch einen Außenanlagenplan im Maßstab 1:200-1:300 </t>
  </si>
  <si>
    <t>Vermeidung von Überhitzung</t>
  </si>
  <si>
    <t>Verwendung von Materialien mit hellen Oberflächen und hohem Rückstrahlevermögen</t>
  </si>
  <si>
    <t>Max. 20</t>
  </si>
  <si>
    <t>Beschreibung</t>
  </si>
  <si>
    <t>Punkte 
(gesamt max. 30)</t>
  </si>
  <si>
    <t>Kommentierung Haustechnik</t>
  </si>
  <si>
    <t>Konzept für Betrieb &amp; Wartung</t>
  </si>
  <si>
    <t>Einregulierung</t>
  </si>
  <si>
    <t>Punkte (gesamt max. 15)</t>
  </si>
  <si>
    <r>
      <t>Zugänglichkeit und Reinigbarkeit von innen- und Außenflächen</t>
    </r>
    <r>
      <rPr>
        <sz val="8"/>
        <rFont val="Arial"/>
        <family val="2"/>
      </rPr>
      <t> </t>
    </r>
  </si>
  <si>
    <t>mehr als 3,00 m über dem Fussboden, wobei Reinigung nicht mit Reinigungsstange oder Trittleiter möglich ist</t>
  </si>
  <si>
    <r>
      <t>Nachweis</t>
    </r>
    <r>
      <rPr>
        <sz val="10"/>
        <color theme="1"/>
        <rFont val="Arial"/>
        <family val="2"/>
      </rPr>
      <t>: Beschreibung Art und Weise</t>
    </r>
  </si>
  <si>
    <t>max. 6</t>
  </si>
  <si>
    <t>Schmutzfangzonen</t>
  </si>
  <si>
    <t>Bodenbündig eingebaute Gitterroste, Kunststoff- oder Naturfasermatten vor und hinter den Eingangszonen</t>
  </si>
  <si>
    <t>Vorhanden an allen Eingangszonen</t>
  </si>
  <si>
    <r>
      <t>Nachweis</t>
    </r>
    <r>
      <rPr>
        <sz val="10"/>
        <color theme="1"/>
        <rFont val="Arial"/>
        <family val="2"/>
      </rPr>
      <t>: Planvorlage, Art und Weise</t>
    </r>
  </si>
  <si>
    <t>max. 3</t>
  </si>
  <si>
    <t>Sockelleisten/ wischfester Anstrich im Sockelbereich</t>
  </si>
  <si>
    <t>Schutz des Sockelbereichs von Wänden vor Verschmutzung und Beschädigung durch die Fußbodenreinigung</t>
  </si>
  <si>
    <t>Vorhanden</t>
  </si>
  <si>
    <r>
      <t>Nachweis</t>
    </r>
    <r>
      <rPr>
        <sz val="10"/>
        <color theme="1"/>
        <rFont val="Arial"/>
        <family val="2"/>
      </rPr>
      <t>: ja/ nein; Beschreibung Art und Weise</t>
    </r>
  </si>
  <si>
    <t>max. 2</t>
  </si>
  <si>
    <t>Inspektions- und wartungsrelevante Technische Anlagen</t>
  </si>
  <si>
    <t>Revisionierbarkeit</t>
  </si>
  <si>
    <t>Gegeben</t>
  </si>
  <si>
    <t>Beschriftung</t>
  </si>
  <si>
    <r>
      <t>Nachweis</t>
    </r>
    <r>
      <rPr>
        <sz val="10"/>
        <color theme="1"/>
        <rFont val="Arial"/>
        <family val="2"/>
      </rPr>
      <t>: ja/ nein; Beschreibung Art und Weise; Abstimmungsprotokoll</t>
    </r>
  </si>
  <si>
    <t xml:space="preserve">max. 4 </t>
  </si>
  <si>
    <t>A 1.7 Regenwassernutzung</t>
  </si>
  <si>
    <t>Punkte 
(gesamt max. 10)</t>
  </si>
  <si>
    <t>Kommissionelle Beurteilung des Block B</t>
  </si>
  <si>
    <t>0…nicht vorhanden/erfüllt
1…geringer Erfüllungsgrad
5…sehr hoher Erfüllungsgrad</t>
  </si>
  <si>
    <t>Kommentare / Maßnahmen</t>
  </si>
  <si>
    <t>Wärmeschutz Winter</t>
  </si>
  <si>
    <t>LEK-Wert</t>
  </si>
  <si>
    <t>Wärmegewinne und Berücksichtigung der Nutzbarkeit</t>
  </si>
  <si>
    <t>Kompaktheit</t>
  </si>
  <si>
    <t>Heizwärmebedarf</t>
  </si>
  <si>
    <t>Wärmeschutz Sommer</t>
  </si>
  <si>
    <t>Fensterflächenanteil und -zuordnung</t>
  </si>
  <si>
    <t>Sonnenschutzmaßnahme</t>
  </si>
  <si>
    <t>verfügbare Speichermasse</t>
  </si>
  <si>
    <t>freie Nachtkühlung</t>
  </si>
  <si>
    <t>außeninduzierter Kühlbedarf</t>
  </si>
  <si>
    <t>Energieeffizienz Haustechnik</t>
  </si>
  <si>
    <t>Lüftungsanlage WRG</t>
  </si>
  <si>
    <t>Lüftungsanlage Regelung und Dimensionierung</t>
  </si>
  <si>
    <t>Druckverlustminimierung</t>
  </si>
  <si>
    <t>Wärmebereitstellung Heizung</t>
  </si>
  <si>
    <t>Nutzung erneurbarer Energien für Heizung</t>
  </si>
  <si>
    <t>Wärmeverteilung Heizung</t>
  </si>
  <si>
    <t>Wärmeabgabe Heizung/Regelung</t>
  </si>
  <si>
    <t>Wärmebereitstellung Warmwasser</t>
  </si>
  <si>
    <t>Wärmeverteilung, Puffer Warmwasser</t>
  </si>
  <si>
    <t>Nutzung erneurbarer Energien Warmwasser</t>
  </si>
  <si>
    <t>Wärmeabgabe Warmwasser</t>
  </si>
  <si>
    <t>Keine technische Kühlung (aktive und passive Systeme)</t>
  </si>
  <si>
    <t>Nutzung erneurbarer Energien für Kühlung</t>
  </si>
  <si>
    <t>Nutzerorientiertes Monitoring ; Nutzerschulung</t>
  </si>
  <si>
    <t>Licht und Beleuchtung</t>
  </si>
  <si>
    <t>Hilfsstrom Haustechnik</t>
  </si>
  <si>
    <t>Energieeffizienz Lift</t>
  </si>
  <si>
    <t>Endenergiebedarf</t>
  </si>
  <si>
    <t>Qualität der Ausführung</t>
  </si>
  <si>
    <t>Luftdichtheit</t>
  </si>
  <si>
    <t>Wärmebrücken</t>
  </si>
  <si>
    <t>Überpunktung (105% in Spalte C) möglich</t>
  </si>
  <si>
    <r>
      <t xml:space="preserve">Kommissionelle Beurteilung 
(unkonditionierter Bereich, </t>
    </r>
    <r>
      <rPr>
        <b/>
        <u/>
        <sz val="12"/>
        <rFont val="Arial"/>
        <family val="2"/>
      </rPr>
      <t>offener</t>
    </r>
    <r>
      <rPr>
        <b/>
        <sz val="12"/>
        <rFont val="Arial"/>
        <family val="2"/>
      </rPr>
      <t xml:space="preserve"> Bereich)</t>
    </r>
  </si>
  <si>
    <r>
      <t>B 1b Heizwärmebedarf HWB</t>
    </r>
    <r>
      <rPr>
        <b/>
        <vertAlign val="subscript"/>
        <sz val="12"/>
        <rFont val="Arial"/>
        <family val="2"/>
      </rPr>
      <t>SK</t>
    </r>
    <r>
      <rPr>
        <b/>
        <sz val="12"/>
        <rFont val="Arial"/>
        <family val="2"/>
      </rPr>
      <t>, Primärenergiebedarf und Emissionen CO</t>
    </r>
    <r>
      <rPr>
        <b/>
        <sz val="11"/>
        <rFont val="Arial"/>
        <family val="2"/>
      </rPr>
      <t>2</t>
    </r>
    <r>
      <rPr>
        <b/>
        <sz val="12"/>
        <rFont val="Arial"/>
        <family val="2"/>
      </rPr>
      <t xml:space="preserve">-Äquivalente nach OIB RL 6 2019 für </t>
    </r>
    <r>
      <rPr>
        <b/>
        <u/>
        <sz val="12"/>
        <rFont val="Arial"/>
        <family val="2"/>
      </rPr>
      <t>vollkonditionierten</t>
    </r>
    <r>
      <rPr>
        <b/>
        <sz val="12"/>
        <rFont val="Arial"/>
        <family val="2"/>
      </rPr>
      <t xml:space="preserve"> Bereich </t>
    </r>
    <r>
      <rPr>
        <sz val="12"/>
        <rFont val="Arial"/>
        <family val="2"/>
      </rPr>
      <t>(falls ein Energieausweis erforderlich ist)</t>
    </r>
  </si>
  <si>
    <t>Eingabefeld OIB RL-6</t>
  </si>
  <si>
    <t>A/V-Verhältnis</t>
  </si>
  <si>
    <t>1/m</t>
  </si>
  <si>
    <t>Brutto-Volumen</t>
  </si>
  <si>
    <t>m³</t>
  </si>
  <si>
    <r>
      <t>Heizwärmbedarf HWB</t>
    </r>
    <r>
      <rPr>
        <vertAlign val="subscript"/>
        <sz val="10"/>
        <color theme="1"/>
        <rFont val="Arial"/>
        <family val="2"/>
      </rPr>
      <t>SK</t>
    </r>
  </si>
  <si>
    <t>kWh/(m²a)</t>
  </si>
  <si>
    <r>
      <t>LEK</t>
    </r>
    <r>
      <rPr>
        <vertAlign val="subscript"/>
        <sz val="10"/>
        <color theme="1"/>
        <rFont val="Arial"/>
        <family val="2"/>
      </rPr>
      <t>T</t>
    </r>
    <r>
      <rPr>
        <sz val="10"/>
        <color theme="1"/>
        <rFont val="Arial"/>
        <family val="2"/>
      </rPr>
      <t>-Wert</t>
    </r>
  </si>
  <si>
    <t>Gebäudehüllfläche</t>
  </si>
  <si>
    <t>m²</t>
  </si>
  <si>
    <t>Summe Bauteilflächen zum Bestand</t>
  </si>
  <si>
    <r>
      <t>Transmissions-Leitwert L</t>
    </r>
    <r>
      <rPr>
        <vertAlign val="subscript"/>
        <sz val="10"/>
        <color theme="1"/>
        <rFont val="Arial"/>
        <family val="2"/>
      </rPr>
      <t xml:space="preserve">T </t>
    </r>
    <r>
      <rPr>
        <sz val="10"/>
        <color theme="1"/>
        <rFont val="Arial"/>
        <family val="2"/>
      </rPr>
      <t>inkl. Wärmebrückenzuschlag</t>
    </r>
  </si>
  <si>
    <t>W/K</t>
  </si>
  <si>
    <r>
      <t>Kühlbedarf KB</t>
    </r>
    <r>
      <rPr>
        <vertAlign val="subscript"/>
        <sz val="10"/>
        <color theme="1"/>
        <rFont val="Arial"/>
        <family val="2"/>
      </rPr>
      <t>SK</t>
    </r>
  </si>
  <si>
    <r>
      <t>Primärenergiebedarf gesamt PEB</t>
    </r>
    <r>
      <rPr>
        <vertAlign val="subscript"/>
        <sz val="10"/>
        <color theme="1"/>
        <rFont val="Arial"/>
        <family val="2"/>
      </rPr>
      <t>SK</t>
    </r>
  </si>
  <si>
    <t>Betriebsstrombedarf BSB</t>
  </si>
  <si>
    <t>Beleuchtungsenergiebedarf BelEB</t>
  </si>
  <si>
    <t>Endenergiebedarf Beleuchtung (eigene Ermittlung)</t>
  </si>
  <si>
    <r>
      <t>CO</t>
    </r>
    <r>
      <rPr>
        <vertAlign val="subscript"/>
        <sz val="10"/>
        <color theme="1"/>
        <rFont val="Arial"/>
        <family val="2"/>
      </rPr>
      <t>2;SK</t>
    </r>
    <r>
      <rPr>
        <sz val="10"/>
        <color theme="1"/>
        <rFont val="Arial"/>
        <family val="2"/>
      </rPr>
      <t xml:space="preserve"> gesamt (EAW)</t>
    </r>
  </si>
  <si>
    <r>
      <t>kg</t>
    </r>
    <r>
      <rPr>
        <vertAlign val="subscript"/>
        <sz val="10"/>
        <color theme="1"/>
        <rFont val="Arial"/>
        <family val="2"/>
      </rPr>
      <t>CO2</t>
    </r>
    <r>
      <rPr>
        <sz val="10"/>
        <color theme="1"/>
        <rFont val="Arial"/>
        <family val="2"/>
      </rPr>
      <t>/(m²a)</t>
    </r>
  </si>
  <si>
    <r>
      <t>CO2</t>
    </r>
    <r>
      <rPr>
        <vertAlign val="subscript"/>
        <sz val="10"/>
        <color theme="1"/>
        <rFont val="Arial"/>
        <family val="2"/>
      </rPr>
      <t>SK</t>
    </r>
    <r>
      <rPr>
        <sz val="10"/>
        <color theme="1"/>
        <rFont val="Arial"/>
        <family val="2"/>
      </rPr>
      <t xml:space="preserve"> gesamt (EAW)</t>
    </r>
  </si>
  <si>
    <t>kgCO2/(m²a)</t>
  </si>
  <si>
    <r>
      <t>Photovoltaik Export PV</t>
    </r>
    <r>
      <rPr>
        <vertAlign val="subscript"/>
        <sz val="10"/>
        <color theme="1"/>
        <rFont val="Arial"/>
        <family val="2"/>
      </rPr>
      <t>Export;SK</t>
    </r>
  </si>
  <si>
    <t>Ergebnisse</t>
  </si>
  <si>
    <r>
      <t>korrigierter LEK</t>
    </r>
    <r>
      <rPr>
        <vertAlign val="subscript"/>
        <sz val="10"/>
        <color theme="1"/>
        <rFont val="Arial"/>
        <family val="2"/>
      </rPr>
      <t>T</t>
    </r>
    <r>
      <rPr>
        <sz val="10"/>
        <color theme="1"/>
        <rFont val="Arial"/>
        <family val="2"/>
      </rPr>
      <t>-Wert</t>
    </r>
  </si>
  <si>
    <t>Primärenergiebedarf</t>
  </si>
  <si>
    <r>
      <t>CO</t>
    </r>
    <r>
      <rPr>
        <vertAlign val="subscript"/>
        <sz val="10"/>
        <color theme="1"/>
        <rFont val="Arial"/>
        <family val="2"/>
      </rPr>
      <t>2</t>
    </r>
  </si>
  <si>
    <t>CO2</t>
  </si>
  <si>
    <r>
      <t>HWB</t>
    </r>
    <r>
      <rPr>
        <b/>
        <vertAlign val="subscript"/>
        <sz val="10"/>
        <rFont val="Arial"/>
        <family val="2"/>
      </rPr>
      <t>SK</t>
    </r>
    <r>
      <rPr>
        <b/>
        <sz val="10"/>
        <rFont val="Arial"/>
        <family val="2"/>
      </rPr>
      <t>-Punkte</t>
    </r>
  </si>
  <si>
    <r>
      <t>LEK</t>
    </r>
    <r>
      <rPr>
        <b/>
        <vertAlign val="subscript"/>
        <sz val="10"/>
        <color theme="1"/>
        <rFont val="Arial"/>
        <family val="2"/>
      </rPr>
      <t>T</t>
    </r>
    <r>
      <rPr>
        <b/>
        <sz val="10"/>
        <color theme="1"/>
        <rFont val="Arial"/>
        <family val="2"/>
      </rPr>
      <t>-Punkte</t>
    </r>
  </si>
  <si>
    <r>
      <t>KB</t>
    </r>
    <r>
      <rPr>
        <b/>
        <vertAlign val="subscript"/>
        <sz val="10"/>
        <rFont val="Arial"/>
        <family val="2"/>
      </rPr>
      <t>SK</t>
    </r>
    <r>
      <rPr>
        <b/>
        <sz val="10"/>
        <rFont val="Arial"/>
        <family val="2"/>
      </rPr>
      <t>-Punkte</t>
    </r>
  </si>
  <si>
    <r>
      <t>PEB</t>
    </r>
    <r>
      <rPr>
        <b/>
        <vertAlign val="subscript"/>
        <sz val="10"/>
        <color theme="1"/>
        <rFont val="Arial"/>
        <family val="2"/>
      </rPr>
      <t>SK</t>
    </r>
    <r>
      <rPr>
        <b/>
        <sz val="10"/>
        <color theme="1"/>
        <rFont val="Arial"/>
        <family val="2"/>
      </rPr>
      <t>-Punkte</t>
    </r>
  </si>
  <si>
    <r>
      <t>CO</t>
    </r>
    <r>
      <rPr>
        <b/>
        <vertAlign val="subscript"/>
        <sz val="10"/>
        <color theme="1"/>
        <rFont val="Arial"/>
        <family val="2"/>
      </rPr>
      <t>2;SK</t>
    </r>
    <r>
      <rPr>
        <b/>
        <sz val="10"/>
        <color theme="1"/>
        <rFont val="Arial"/>
        <family val="2"/>
      </rPr>
      <t>-Punkte</t>
    </r>
  </si>
  <si>
    <r>
      <t>CO2</t>
    </r>
    <r>
      <rPr>
        <b/>
        <vertAlign val="subscript"/>
        <sz val="10"/>
        <color theme="1"/>
        <rFont val="Arial"/>
        <family val="2"/>
      </rPr>
      <t>SK</t>
    </r>
    <r>
      <rPr>
        <b/>
        <sz val="10"/>
        <color theme="1"/>
        <rFont val="Arial"/>
        <family val="2"/>
      </rPr>
      <t>-Punkte</t>
    </r>
  </si>
  <si>
    <t>Wert</t>
  </si>
  <si>
    <t>HWB-Grenzwerte oben</t>
  </si>
  <si>
    <t>HWB-Grenzwerte unten</t>
  </si>
  <si>
    <t>LEK-Grenzwert oben</t>
  </si>
  <si>
    <t>LEK-Grenzwert unten</t>
  </si>
  <si>
    <t>KB-Grenzwerte oben</t>
  </si>
  <si>
    <t>KB-Grenzwerte unten</t>
  </si>
  <si>
    <t>PEB-Grenzwerte oben</t>
  </si>
  <si>
    <t>PEB-Grenzwerte unten</t>
  </si>
  <si>
    <r>
      <t>CO</t>
    </r>
    <r>
      <rPr>
        <b/>
        <vertAlign val="subscript"/>
        <sz val="10"/>
        <color theme="1"/>
        <rFont val="Arial"/>
        <family val="2"/>
      </rPr>
      <t>2</t>
    </r>
    <r>
      <rPr>
        <b/>
        <sz val="10"/>
        <color theme="1"/>
        <rFont val="Arial"/>
        <family val="2"/>
      </rPr>
      <t>-Grenzwerte oben</t>
    </r>
  </si>
  <si>
    <r>
      <t>CO</t>
    </r>
    <r>
      <rPr>
        <b/>
        <vertAlign val="subscript"/>
        <sz val="10"/>
        <color theme="1"/>
        <rFont val="Arial"/>
        <family val="2"/>
      </rPr>
      <t>2</t>
    </r>
    <r>
      <rPr>
        <b/>
        <sz val="10"/>
        <color theme="1"/>
        <rFont val="Arial"/>
        <family val="2"/>
      </rPr>
      <t>-Grenzwerte unten</t>
    </r>
  </si>
  <si>
    <t>Minderbeheizte Gebäude</t>
  </si>
  <si>
    <r>
      <t>LEK</t>
    </r>
    <r>
      <rPr>
        <vertAlign val="subscript"/>
        <sz val="11"/>
        <color theme="1"/>
        <rFont val="Arial"/>
        <family val="2"/>
      </rPr>
      <t>T</t>
    </r>
  </si>
  <si>
    <t>Kühlbedarf</t>
  </si>
  <si>
    <r>
      <t>CO</t>
    </r>
    <r>
      <rPr>
        <vertAlign val="subscript"/>
        <sz val="10"/>
        <color theme="1"/>
        <rFont val="Arial"/>
        <family val="2"/>
      </rPr>
      <t>2</t>
    </r>
    <r>
      <rPr>
        <sz val="10"/>
        <color theme="1"/>
        <rFont val="Arial"/>
        <family val="2"/>
      </rPr>
      <t>-Äquivalente</t>
    </r>
  </si>
  <si>
    <t>Eingabe</t>
  </si>
  <si>
    <t>Bruttogrundfläche (analog OIB RL 6)</t>
  </si>
  <si>
    <t>ermittelter Jahresertrag
Nachweis durch Berechnung mit für die Auslegung der jeweiligen Energiequelle geeignetem Programm</t>
  </si>
  <si>
    <t>kWh/a</t>
  </si>
  <si>
    <t>Angabe der Energiequelle; Berechnungsausdruck der Anlagenauslegung wird beigelegt</t>
  </si>
  <si>
    <t>Mindestjahresertrag</t>
  </si>
  <si>
    <t>Solljahresertrag</t>
  </si>
  <si>
    <t xml:space="preserve">Punkte Jahresertragsnachweis </t>
  </si>
  <si>
    <t>Gesamtpunkte Erneuerbare Energiequellen</t>
  </si>
  <si>
    <t>C 1.1 Thermischer Komfort im Sommer</t>
  </si>
  <si>
    <r>
      <rPr>
        <b/>
        <u/>
        <sz val="12"/>
        <rFont val="Arial"/>
        <family val="2"/>
      </rPr>
      <t>Voll</t>
    </r>
    <r>
      <rPr>
        <b/>
        <sz val="12"/>
        <rFont val="Arial"/>
        <family val="2"/>
      </rPr>
      <t>konditioniert</t>
    </r>
  </si>
  <si>
    <t>Punkte (gesamt max. 75)</t>
  </si>
  <si>
    <t xml:space="preserve">Auswertung </t>
  </si>
  <si>
    <t>Bestimmung der maximal zulässigen Übertemperaturgradstunden</t>
  </si>
  <si>
    <t>Nachweis über den thermischen Komfort im Sommer</t>
  </si>
  <si>
    <t xml:space="preserve">Nutzungsstunden pro Jahr </t>
  </si>
  <si>
    <t>h/a</t>
  </si>
  <si>
    <r>
      <t xml:space="preserve">Nachweis OIB RL-6; KB* &lt; 0,4 kWh/(m³a) </t>
    </r>
    <r>
      <rPr>
        <i/>
        <u/>
        <sz val="10"/>
        <rFont val="Arial"/>
        <family val="2"/>
      </rPr>
      <t>oder</t>
    </r>
    <r>
      <rPr>
        <sz val="10"/>
        <rFont val="Arial"/>
        <family val="2"/>
      </rPr>
      <t xml:space="preserve"> Nachweis PHPP Überschreitung 26 °C &lt; 1 % (Jahresbetrachtung)</t>
    </r>
  </si>
  <si>
    <t>Übertemperaturgradstunden (maximal zulässig)</t>
  </si>
  <si>
    <t>Kh/a</t>
  </si>
  <si>
    <t>Übertemperaturgradstunden- unterschreitung um 20 %</t>
  </si>
  <si>
    <t>Dynamische Gebäudesimulation (zumindest für kritische Räume, bei aktiver Kühlung verpflichtend) bei Einhaltung der maximal zulässigen Übertemperaturgradstunden</t>
  </si>
  <si>
    <r>
      <t xml:space="preserve">Dynamische Gebäudesimulation (zumindest für kritische Räume, bei aktiver Kühlung verpflichtend) bei  Unterschreitung der maximal zulässigen Übertemperaturgradstunden um </t>
    </r>
    <r>
      <rPr>
        <b/>
        <sz val="10"/>
        <rFont val="Arial"/>
        <family val="2"/>
      </rPr>
      <t>20 % *</t>
    </r>
  </si>
  <si>
    <t>Ausführung Free-Cooling</t>
  </si>
  <si>
    <t>Zusatzpunkte bei Ausführung einer passiven Kühlung  (z.B. freie Nachtlüftung, mechanische Lüftungsanlage, adiabate Abluftbefeuchtung, Grundwasserkühlung ohne Kompressionskälte, Solekühlung ohne Kompressionskälte)</t>
  </si>
  <si>
    <t>max. 75</t>
  </si>
  <si>
    <t>* Nähere Ausführungen zu den maximal zulässigen Übertemperaturgradstunden in den Erläuterungen zum KGA 2022
  Die Bezugstemperatur beträgt für ganz Vorarlberg 25 °C
  Bei einer Nutzungszeit von 2860 h/a dürfen maximal 450 Kh/a (Übertemperaturgradstunden) vorliegen. Wird dieser Wert überschritten, ist das Kriterium nicht erfüllt.
  Eine Berechnungshilfe zur Bestimmung der maximal zulässigen Übertemperaturgradstunden befindet sich rechts auf diesem Tabellenblatt.</t>
  </si>
  <si>
    <t>Punkte (gesamt max. 50)</t>
  </si>
  <si>
    <t>Kommissionelle Bewertung</t>
  </si>
  <si>
    <t>C 1.2 Maßnahmen zur Sicherstellung komfortabler Raumfeuchte</t>
  </si>
  <si>
    <t>Punkte (gesamt max. 10)</t>
  </si>
  <si>
    <t>Feuchteabhängiges Absenken der Volumenströme ohne aktive Befeuchtung im Winter</t>
  </si>
  <si>
    <t>Feuchterückgewinnung ohne aktive Befeuchtung im Winter</t>
  </si>
  <si>
    <t xml:space="preserve">C 2.1 Messung Raumluftqualität </t>
  </si>
  <si>
    <t>VOC</t>
  </si>
  <si>
    <t>Kl I</t>
  </si>
  <si>
    <t>&lt; 300 µg/m³</t>
  </si>
  <si>
    <t>50 Punkte</t>
  </si>
  <si>
    <t>Kl II</t>
  </si>
  <si>
    <t>300 - 500 µg/m³</t>
  </si>
  <si>
    <t>35 Punkte</t>
  </si>
  <si>
    <t>Kl III</t>
  </si>
  <si>
    <t>500 - 1.000 µg/m³</t>
  </si>
  <si>
    <t>20 Punkte</t>
  </si>
  <si>
    <t>Kl IV</t>
  </si>
  <si>
    <t xml:space="preserve"> 1.000 – 3000 µg/m³</t>
  </si>
  <si>
    <t>0 Punkte, 
Quellensuche empfohlen</t>
  </si>
  <si>
    <t>&gt; 3.000 µg/m³</t>
  </si>
  <si>
    <t>Quellensuche erforderlich</t>
  </si>
  <si>
    <t>Formaldehyd</t>
  </si>
  <si>
    <t>&lt; 0,04 ppm</t>
  </si>
  <si>
    <t>0,04 - 0,08 ppm</t>
  </si>
  <si>
    <t>10 Punkte</t>
  </si>
  <si>
    <t>0,08 - 0,1 ppm</t>
  </si>
  <si>
    <t>5 Punkte</t>
  </si>
  <si>
    <t>&gt; 0,1 ppm</t>
  </si>
  <si>
    <t>Vermeidung von PVC</t>
  </si>
  <si>
    <t>Folien, Fußbodenbelägen und Wandbeläge</t>
  </si>
  <si>
    <r>
      <rPr>
        <sz val="10"/>
        <rFont val="Arial"/>
        <family val="2"/>
      </rPr>
      <t>Kunststofffolien und Vliese jeglicher Art (Dampfbremsen, Abdichtungsbahnen, Trennschichten, Baufolien etc.)</t>
    </r>
    <r>
      <rPr>
        <sz val="10"/>
        <color indexed="8"/>
        <rFont val="Arial"/>
        <family val="2"/>
      </rPr>
      <t xml:space="preserve"> und Dichtstoffe </t>
    </r>
  </si>
  <si>
    <t>(M) 
0</t>
  </si>
  <si>
    <t xml:space="preserve">Fußbodenbeläge und deren Bestandteile (inkl. Sockelleisten), Wandbeläge (Tapeten) </t>
  </si>
  <si>
    <t>PVC-Verzicht für erdverlegte Abwasserrohre</t>
  </si>
  <si>
    <t>Elektroinstallationsmaterialien</t>
  </si>
  <si>
    <t xml:space="preserve">Elektroinstallationsmaterialien (Kabel, Leitungen, Rohre, Dosen etc.) </t>
  </si>
  <si>
    <t xml:space="preserve">Fenster, Sonnen- und / oder Sichtschutz am Objekt </t>
  </si>
  <si>
    <t>Fenster und Türen / Tore</t>
  </si>
  <si>
    <t>Sonnen- und / oder Sichtschutz am Objekt</t>
  </si>
  <si>
    <t>Vermeidung von Bioziden</t>
  </si>
  <si>
    <r>
      <rPr>
        <b/>
        <sz val="10"/>
        <color indexed="8"/>
        <rFont val="Arial"/>
        <family val="2"/>
      </rPr>
      <t>Fassaden aus Produkten ohne biozide Ausrüstungen</t>
    </r>
    <r>
      <rPr>
        <sz val="10"/>
        <color indexed="8"/>
        <rFont val="Arial"/>
        <family val="2"/>
      </rPr>
      <t xml:space="preserve">
Fassadenplatten, Fassadenverkleidungen, Spachtelmassen, Putze, Grundierungen, Farben u.ä.
</t>
    </r>
  </si>
  <si>
    <r>
      <rPr>
        <b/>
        <sz val="10"/>
        <color indexed="8"/>
        <rFont val="Arial"/>
        <family val="2"/>
      </rPr>
      <t>Dächer aus Produkten ohne biozide Ausrüstungen</t>
    </r>
    <r>
      <rPr>
        <sz val="10"/>
        <color indexed="8"/>
        <rFont val="Arial"/>
        <family val="2"/>
      </rPr>
      <t xml:space="preserve">
Bitumendichtungsbahnen, -pappen (z.B. Gründach) u.ä.
</t>
    </r>
  </si>
  <si>
    <t>Fenster und Außentüren ohne biozide Ausrüstungen</t>
  </si>
  <si>
    <t>D 1.2 Einsatz von Recyclingbeton</t>
  </si>
  <si>
    <r>
      <t>D 2.1 Ökologischer Kennwert des Gebäudes (OI3</t>
    </r>
    <r>
      <rPr>
        <b/>
        <sz val="9"/>
        <rFont val="Arial"/>
        <family val="2"/>
      </rPr>
      <t>BG3, BZF</t>
    </r>
    <r>
      <rPr>
        <b/>
        <sz val="12"/>
        <rFont val="Arial"/>
        <family val="2"/>
      </rPr>
      <t xml:space="preserve">) </t>
    </r>
  </si>
  <si>
    <r>
      <t>OI3(BGF</t>
    </r>
    <r>
      <rPr>
        <sz val="6"/>
        <rFont val="Arial"/>
        <family val="2"/>
      </rPr>
      <t>3</t>
    </r>
    <r>
      <rPr>
        <sz val="10"/>
        <rFont val="Arial"/>
        <family val="2"/>
      </rPr>
      <t>,BZF) nach Ecosoft 5.0 oder Eco2soft</t>
    </r>
  </si>
  <si>
    <t>Punkte Neubau</t>
  </si>
  <si>
    <r>
      <t xml:space="preserve">unkonditioniert, </t>
    </r>
    <r>
      <rPr>
        <b/>
        <u/>
        <sz val="12"/>
        <rFont val="Arial"/>
        <family val="2"/>
      </rPr>
      <t>offen</t>
    </r>
    <r>
      <rPr>
        <b/>
        <sz val="12"/>
        <rFont val="Arial"/>
        <family val="2"/>
      </rPr>
      <t xml:space="preserve"> </t>
    </r>
  </si>
  <si>
    <t xml:space="preserve">D 2.2 Entsorgungsindikator (EI) </t>
  </si>
  <si>
    <t>Entsorgungsindikator EI</t>
  </si>
  <si>
    <t>OI3-Wert Max.</t>
  </si>
  <si>
    <t>OI3-Wert Min.</t>
  </si>
  <si>
    <t>EI10-Wert Max.</t>
  </si>
  <si>
    <t>EI10-Wert Min.</t>
  </si>
  <si>
    <t>Gründach mit &gt;= 10 cm Dacherde bei (Mit-) Verwendung von lokalem Boden (mind. 50%) oder Substrat aus lokalem Material (z.B. Grünschnittkompost – Sand-Gemisch) 
PV-Gründach-Kombination 
(trockenheitsverträgliche Vegetation, Substrathöhe im Mittel mind. 8cm) 
Gründach mit überwiegend mineralischem
Substrat &gt; 14 cm (trockenheitsverträgliche Vegetation)</t>
  </si>
  <si>
    <r>
      <t>Kommentierung Haustechnik-Schemata und Raumbücher (Heizung &amp; Lüftung) mit energetisch relevanten Auslegungsdaten,</t>
    </r>
    <r>
      <rPr>
        <b/>
        <sz val="10"/>
        <color rgb="FF000000"/>
        <rFont val="Arial"/>
        <family val="2"/>
      </rPr>
      <t xml:space="preserve"> i.d.R. vor der Baueingabe aber jedenfalls vor Ausschreibung der Gebäudetechnik,</t>
    </r>
    <r>
      <rPr>
        <sz val="10"/>
        <color rgb="FF000000"/>
        <rFont val="Arial"/>
        <family val="2"/>
      </rPr>
      <t xml:space="preserve"> du</t>
    </r>
    <r>
      <rPr>
        <sz val="10"/>
        <color indexed="8"/>
        <rFont val="Arial"/>
        <family val="2"/>
      </rPr>
      <t xml:space="preserve">rch externe, fachkundige Personen </t>
    </r>
    <r>
      <rPr>
        <vertAlign val="superscript"/>
        <sz val="10"/>
        <color indexed="8"/>
        <rFont val="Arial"/>
        <family val="2"/>
      </rPr>
      <t>1)</t>
    </r>
  </si>
  <si>
    <r>
      <t xml:space="preserve">Vorlage eines unterfertigten Einregulierungsprotokolls für Heizung und Lüftung (Mindestangabe: Volumenströme je Ventil und Strang inkl. Dokumentation der Einstellwerte) - </t>
    </r>
    <r>
      <rPr>
        <i/>
        <sz val="10"/>
        <color rgb="FFFF0000"/>
        <rFont val="Arial"/>
        <family val="2"/>
      </rPr>
      <t>MUSSKRITERIUM</t>
    </r>
  </si>
  <si>
    <t>M
(0)</t>
  </si>
  <si>
    <t xml:space="preserve">Nachweis ÖNORM B 8110-3 : 2020 Einhaltung mind. Komfortklasse B für alle kritischen Räume und Glasanteil der vertikalen Fassade des Gebäudes &lt;= 35% </t>
  </si>
  <si>
    <t>Nutzung des Regenwassers zur Bewässerung der Außenanlagen</t>
  </si>
  <si>
    <t>Nutzung des Regenwassers für WC- und Urinalspülung</t>
  </si>
  <si>
    <t>Anbindung der Dachfläche der Hauptgebäude an eine Regenwasserzisterne. Dimensionierung: Bevorhaltung des Bedarfs von mind. 2 Wochen (30l pro WC / 10l pro Urinal pro Nutzungstag) oder Dimensionierung nach anschließbarer Dachfläche (40l pro m²)</t>
  </si>
  <si>
    <t>Der KGA-Prüfer bestätigt mit nachstehenden Erklärungen, dass
- die Erstelllung des Kommunalgebäudeausweises mit den erzielten Bewertungspunkten nach fachlich bestem Wissen und Gewissen durchgeführt wurde
- sofern alle für die Ausstellung erforderlichen Unterlagen korrekt  und vollständig übermittel t wurden, eine PrüferAussteller nicht in den Planungs- und Ausführungsprozess des Bauvorhabens eingebunden war und überdies hierfür keinerlei Honorare erhalten hat
- dem KGA-Prüfer bewusst ist, dass,  falls sich nachträglich herausstellt, dass die Bewertungspunkte nicht stimmen sollten, es zu einer Kürzung  des Fördersatzes und der maximal anerkennbaren Kosten für die Gemeinde kommen kann.</t>
  </si>
  <si>
    <t>A 1.3 Produktmanagement - Einsatz regionaler, schadstoffarmer und emissionsarmer Bauprodukte und Konstruktionen</t>
  </si>
  <si>
    <t>A 1.4 Biodiversität und Klimawandelanpassung</t>
  </si>
  <si>
    <t>D 1.1 Vermeidung von PVC, Kältemittel, Kupfer/Zink und biozider Ausrüstung</t>
  </si>
  <si>
    <t>Sämtliche Dichtstoffe, inkl. Nassversiegelung von Fenstern</t>
  </si>
  <si>
    <t xml:space="preserve">Vermeidung von Kupfer bzw. Kupferlegierungen und Zink bzw. Zinklegierungen im bewitterten Außenbereich </t>
  </si>
  <si>
    <t>Vermeidung von Kufer/Kupferlegierungen und Zink/ Zinklegierungen</t>
  </si>
  <si>
    <t>Vermeidung von nicht zukunftsfähigen Kältemittel</t>
  </si>
  <si>
    <t>D 1.3 Einsatz bereits verwendeter Bauprodukte und Bauteile</t>
  </si>
  <si>
    <t>Einsatz von bereits verwendeter Bauprodukte und Bauteile bei tragenden Elementen</t>
  </si>
  <si>
    <t>Einsatz von bereits verwendeter Bauprodukte und Bauteile bei nicht tragenden Elementen</t>
  </si>
  <si>
    <t>Einsatz bereits verwendeter Bauprodukte und Bauteile</t>
  </si>
  <si>
    <r>
      <t xml:space="preserve">1) als externe, fachkundige Personen zählen in diesem Zusammenhang Fachpersonen (Ingenieure der Gebäudetechnik, Versorgungstechnik, Heizungs- und Lüftungstechnik, Energieingenieurwesen (Schwerpunkt Gebäude), Technischen Gebäudeausrüstung </t>
    </r>
    <r>
      <rPr>
        <i/>
        <u/>
        <sz val="10"/>
        <rFont val="Arial"/>
        <family val="2"/>
      </rPr>
      <t>oder</t>
    </r>
    <r>
      <rPr>
        <sz val="10"/>
        <rFont val="Arial"/>
        <family val="2"/>
      </rPr>
      <t xml:space="preserve"> HTL-Absolventen mit Schwerpunkt Technische Gebäudeausrüstung </t>
    </r>
    <r>
      <rPr>
        <i/>
        <u/>
        <sz val="10"/>
        <rFont val="Arial"/>
        <family val="2"/>
      </rPr>
      <t>oder</t>
    </r>
    <r>
      <rPr>
        <sz val="10"/>
        <rFont val="Arial"/>
        <family val="2"/>
      </rPr>
      <t xml:space="preserve"> Meister der Heizungs- und Lüftungstechnik </t>
    </r>
    <r>
      <rPr>
        <i/>
        <u/>
        <sz val="10"/>
        <rFont val="Arial"/>
        <family val="2"/>
      </rPr>
      <t>oder</t>
    </r>
    <r>
      <rPr>
        <sz val="10"/>
        <rFont val="Arial"/>
        <family val="2"/>
      </rPr>
      <t xml:space="preserve"> Mitarbeiter in HSL-Planungsbüros mit mind. 5 Jahren Berufserfahrung</t>
    </r>
    <r>
      <rPr>
        <sz val="10"/>
        <rFont val="Arial"/>
        <family val="2"/>
      </rPr>
      <t>. Diese externe Personen dürfen hierbei nicht im selben Planungsbüro arbeiten, welches mit der Anlagenplanung beauftragt ist.</t>
    </r>
  </si>
  <si>
    <t>Vermeidung von PVC,  Kältemittel, Kupfer/Zink und Bioziden</t>
  </si>
  <si>
    <t>Durchführung eines Architekturwettbewerbes und Festlegung eines 
Nachhaltigkeitstandards in Architektenvereinbarungen</t>
  </si>
  <si>
    <r>
      <rPr>
        <b/>
        <sz val="10"/>
        <rFont val="Arial"/>
        <family val="2"/>
      </rPr>
      <t>Fassade</t>
    </r>
    <r>
      <rPr>
        <sz val="10"/>
        <rFont val="Arial"/>
        <family val="2"/>
      </rPr>
      <t xml:space="preserve"> (bei mehr als der Hälfte der Fassadenfläche)</t>
    </r>
  </si>
  <si>
    <r>
      <rPr>
        <b/>
        <sz val="10"/>
        <rFont val="Arial"/>
        <family val="2"/>
      </rPr>
      <t>Konstruktiver Holzbau</t>
    </r>
    <r>
      <rPr>
        <sz val="10"/>
        <rFont val="Arial"/>
        <family val="2"/>
      </rPr>
      <t xml:space="preserve"> </t>
    </r>
    <r>
      <rPr>
        <sz val="8"/>
        <rFont val="Arial"/>
        <family val="2"/>
      </rPr>
      <t>(Bepunktung nur bei Holz- bzw. Mischbauten)</t>
    </r>
  </si>
  <si>
    <t>Fassaden der Haupt- und Nebengebäude begrünt (&gt; 15 % der opaken Fläche der untersten 10m Gebäudehöhe) oder im entsprechenden Ausmaß ein anderes Bauwerk</t>
  </si>
  <si>
    <t>Von einer Gehölzinsel oder Wildhecke (&gt;3 m breit und &gt;5 m lang) mit natürlichem Unterwuchs und heimischen Arten in ihrer Wildform (keine züchterische Form, keine Sorte)</t>
  </si>
  <si>
    <t>Von drei verschiedenen heimischen Sträuchern in ihrer Wildform (keine züchterische Form, keine Sorte)</t>
  </si>
  <si>
    <t xml:space="preserve">Von artenreichen mehrjährigen Blumenwiesen oder Blühstreifen/ Hochstaudensäume mit gebietseigenen Wildpflanzenarten 
(25% der Außenfläche, Einzelfläche mindestens 10 m²). </t>
  </si>
  <si>
    <t xml:space="preserve">Von artenreichen mehrjährigen Blumenwiesen oder Blühstreifen/ Hochstaudensäume mit gebietseigenen Wildpflanzenarten 
(10% der Außenfläche, Einzelfläche mindestens 10 m²). </t>
  </si>
  <si>
    <t>10 % der versiegelten und teilversiegelten Außenfläche wird oberirdisch zurückgehalten oder versickert</t>
  </si>
  <si>
    <t>Bei Erreichbarkeit maximal 3 m über dem Fußboden oder eines Reinigungsgangs für mind. jeweils 70% der Innen- und Außenglasflächen</t>
  </si>
  <si>
    <t>Bei Erreichbarkeit über 3 m über dem Fußboden oder eines Reinigungsgangs und  mit Reinigungsstange reinigbar für mind. jeweils 70% der Innen- und Außenglasflächen</t>
  </si>
  <si>
    <t>Anbindung der Dachfläche der Hauptgebäude an eine Regenwasserzisterne. Dimensionierung: Bevorhaltung des Bedarfs von mind. 2 Wochen (40l pro m² zu bewässernde Außenfläche) oder nach anschließbarer Dachfläche (40l pro m²)</t>
  </si>
  <si>
    <t>B 1.5 Nutzung erneuerbarer Energiequellen</t>
  </si>
  <si>
    <t>A 1.6 Reinigungs- und Instandhaltungsfreundlichkeit</t>
  </si>
  <si>
    <t>A 1.5 Haustechnik-Konzept</t>
  </si>
  <si>
    <t>Wasser-, Abwasser- sowie Zu- und Abluftrohre im (Projekt bis Kanalschluss)</t>
  </si>
  <si>
    <t>gering beheizt</t>
  </si>
  <si>
    <t>frostfrei</t>
  </si>
  <si>
    <t xml:space="preserve">Gering beheizt (+6°C bis 17°C)
</t>
  </si>
  <si>
    <t xml:space="preserve">frostfrei (bis 5°C beheizt)
</t>
  </si>
  <si>
    <t xml:space="preserve">Gering beheizt (+6°C bis 17 °C) </t>
  </si>
  <si>
    <r>
      <rPr>
        <b/>
        <u/>
        <sz val="12"/>
        <rFont val="Arial"/>
        <family val="2"/>
      </rPr>
      <t>gering</t>
    </r>
    <r>
      <rPr>
        <b/>
        <sz val="12"/>
        <rFont val="Arial"/>
        <family val="2"/>
      </rPr>
      <t xml:space="preserve"> beheizt (+6 °C bis 17 °C) </t>
    </r>
  </si>
  <si>
    <t>frostfrei (bis 5 °C beheizt)</t>
  </si>
  <si>
    <r>
      <t>Kommissionelle Beurteilung 
(</t>
    </r>
    <r>
      <rPr>
        <b/>
        <u/>
        <sz val="12"/>
        <rFont val="Arial"/>
        <family val="2"/>
      </rPr>
      <t>gering</t>
    </r>
    <r>
      <rPr>
        <b/>
        <sz val="12"/>
        <rFont val="Arial"/>
        <family val="2"/>
      </rPr>
      <t xml:space="preserve"> beheizter Bereich)</t>
    </r>
  </si>
  <si>
    <t>Kommissionelle Beurteilung 
(frostfreier Bereich)</t>
  </si>
  <si>
    <t>Punkte (gesamt max. 45)</t>
  </si>
  <si>
    <t>Kommissionelle Beurteilung 
(vollkonditionierter Bereich)</t>
  </si>
  <si>
    <t>Überschrift dieses Blockes bleibt und ergänzend vollkonditioniert</t>
  </si>
  <si>
    <t>Qualität der Gebäudehülle und Kompaktheit</t>
  </si>
  <si>
    <t>Punkte (gesamt max. 120)</t>
  </si>
  <si>
    <t>Gibt es eine Dokumentation zur ökologischen Bauteiloptimierung im Rahmen der Planungsphase</t>
  </si>
  <si>
    <t xml:space="preserve">2. Berücksichtigung ökologischer Kriterien in den relevanten Ausschreibungen und Aufträgen </t>
  </si>
  <si>
    <t>Ökobaukriterien</t>
  </si>
  <si>
    <t>100 % aller Ausschreibungen mit allen Kriterien ökologisch ausgeschrieben</t>
  </si>
  <si>
    <t>Für jedes relevante Gewerk, welches nicht mit allen relevanten Kriterien ökologisch ausgeschrieben
wurde, werden 5 Punkte abgezogen. Dieser Punkteabzug kommt auch bei nachträglichen 
Beauftragungen abweichend von den ökologischen Kriterien zur Anwendung</t>
  </si>
  <si>
    <t>3. Produktdeklaration</t>
  </si>
  <si>
    <r>
      <t xml:space="preserve">4. Ökologische Bauaufsicht </t>
    </r>
    <r>
      <rPr>
        <sz val="10"/>
        <rFont val="Arial"/>
        <family val="2"/>
      </rPr>
      <t>(Punktevergabe nur möglich, wenn auch Punkte bei 2. und 3. vergeben wurden)</t>
    </r>
  </si>
  <si>
    <t>Baustellenbegehungen und Dokumentation
regelmäßig dem Baufortschritt entsprechend</t>
  </si>
  <si>
    <t>Stichprobenartig (mehr als 3 Gewerke nicht erfasst oder andere Anforderungen an Begehungen/ Dokumentationen abweichend von der Festlegung in den Erläuterungen)</t>
  </si>
  <si>
    <t>5. Förderung regionaler Holzwirtschaft durch die Kommune</t>
  </si>
  <si>
    <t>Mit HVH Nachweis oder gleichwertig (Nachweisliche Einhaltung HVH Kriterien)</t>
  </si>
  <si>
    <t>Ohne HvH Nachweis</t>
  </si>
  <si>
    <t>Beim Einsatz von nachweislich regionalem Holz (Nachweis über „Holz-von-Hier“ Zertifikate oder nachweislich Einhaltung aller „Holz-von-Hier“ Kriterien) werden die Punkte in der linken Spalte vergeben. 
Wird Fichte, Tanne, Esche oder Buche eingesetzt und nicht nachweislich regionales Holz gemäß den hier vorliegenden Bestimmungen eingesetzt, werden die Punkte der rechten Spalte vergeben.</t>
  </si>
  <si>
    <r>
      <t xml:space="preserve">Fenster </t>
    </r>
    <r>
      <rPr>
        <sz val="10"/>
        <rFont val="Arial"/>
        <family val="2"/>
      </rPr>
      <t>mind. 80% aus entsprechendem Holz und 100% der Fenster PVC-frei</t>
    </r>
  </si>
  <si>
    <r>
      <rPr>
        <b/>
        <sz val="10"/>
        <rFont val="Arial"/>
        <family val="2"/>
      </rPr>
      <t>Fußbodenbelag Massivholz</t>
    </r>
    <r>
      <rPr>
        <sz val="10"/>
        <rFont val="Arial"/>
        <family val="2"/>
      </rPr>
      <t xml:space="preserve"> (z.B. Massivparkett, Dielenboden; </t>
    </r>
    <r>
      <rPr>
        <sz val="10"/>
        <color theme="1"/>
        <rFont val="Arial"/>
        <family val="2"/>
      </rPr>
      <t>Mehrschichtparkett mit einer Nutzschichtstärke von mind. 6mm; mehr als die Hälfte der konditionierten Flächen (Zonen mit einer geplanten Raumtemperatur von mind. 18°C) als Vollholzkonstruktion)</t>
    </r>
  </si>
  <si>
    <r>
      <t xml:space="preserve">Einsatz von Kältemittel mit reduzierten Klimafolgen bei Wärmepumpen </t>
    </r>
    <r>
      <rPr>
        <sz val="10"/>
        <rFont val="Arial"/>
        <family val="2"/>
      </rPr>
      <t xml:space="preserve">                                                                           GWP &lt; 150 </t>
    </r>
    <r>
      <rPr>
        <b/>
        <sz val="10"/>
        <rFont val="Arial"/>
        <family val="2"/>
      </rPr>
      <t xml:space="preserve">
 </t>
    </r>
  </si>
  <si>
    <t>mindestens 30 % des Betonvolumens aller Expositionsklassen werden als RC-Beton ausgeführt;
bei diesem Betonvolumen ist der Betonzuschlag mit einem Anteil von mindestens 25 Massen-% der Gesteinskörnungen aus Recyclingmaterial auszuführen; Nachweis über Kennzeichnung auf den Lieferscheinen bzw. mittels Eignungsprüfung Formblatt 1.1 (EN 206)</t>
  </si>
  <si>
    <t>Verwendung von CO2-armem Zement als Bindemittel bei mind. 70% des technisch umsetzbaren Betonvolumens;
 Nachweis über Kennzeichnung auf den Lieferscheinen</t>
  </si>
  <si>
    <t xml:space="preserve">Nebenrechnung </t>
  </si>
  <si>
    <t>Gesamtvolumen [in m³]</t>
  </si>
  <si>
    <t>Baustoffe mit erheblichem Recyclinganteil [in m³]</t>
  </si>
  <si>
    <t xml:space="preserve">Recyclinganteil </t>
  </si>
  <si>
    <r>
      <t>GWP</t>
    </r>
    <r>
      <rPr>
        <vertAlign val="subscript"/>
        <sz val="10"/>
        <rFont val="Arial"/>
        <family val="2"/>
      </rPr>
      <t xml:space="preserve"> Total</t>
    </r>
    <r>
      <rPr>
        <sz val="10"/>
        <rFont val="Arial"/>
        <family val="2"/>
      </rPr>
      <t xml:space="preserve"> CO2 equ. / m² BZF</t>
    </r>
  </si>
  <si>
    <t>GWP Total Max. CO2 equ. / m² BZF</t>
  </si>
  <si>
    <t>GWP Total Min. CO2 equ. / m² BZF</t>
  </si>
  <si>
    <t>Punkte OI3</t>
  </si>
  <si>
    <t xml:space="preserve">Punkte GWP </t>
  </si>
  <si>
    <t xml:space="preserve">Summe Punkte Gesamt </t>
  </si>
  <si>
    <t>Kommunalgebäudeausweis Vorarlberg - reduziert beheizte Gebäude
Version 2025-1</t>
  </si>
  <si>
    <r>
      <rPr>
        <b/>
        <sz val="22"/>
        <rFont val="Arial"/>
        <family val="2"/>
      </rPr>
      <t>Kommunalgebäudeausweis Vorarlberg - reduziert beheizte Gebäude</t>
    </r>
    <r>
      <rPr>
        <b/>
        <sz val="10"/>
        <rFont val="Arial"/>
        <family val="2"/>
      </rPr>
      <t xml:space="preserve"> </t>
    </r>
    <r>
      <rPr>
        <b/>
        <sz val="11"/>
        <rFont val="Arial"/>
        <family val="2"/>
      </rPr>
      <t>- Version 2025-1</t>
    </r>
    <r>
      <rPr>
        <b/>
        <sz val="10"/>
        <rFont val="Arial"/>
        <family val="2"/>
      </rPr>
      <t xml:space="preserve">
</t>
    </r>
    <r>
      <rPr>
        <b/>
        <sz val="12"/>
        <rFont val="Arial"/>
        <family val="2"/>
      </rPr>
      <t>gemäß den Bestimmungen der Richtlinie der Vorarlberger Landesregierung zur Gewährung von Bedarfszuweisungsmittel, 2025</t>
    </r>
  </si>
  <si>
    <t>M</t>
  </si>
  <si>
    <t>Ökologische Kennwerte des Gebäudes (OI3 BG3, GWP Total)</t>
  </si>
  <si>
    <t>Konzept für den Betrieb und Wartung der technischen Anlagen mit Regel- und Messkonzept (Lastenheft) inkl. Einschulung der relevanten Personen (Bestätigung). Das Konzept soll hierbei die schalttechnischen Zusammenhänge ebenso beschreiben wie die getroffenen Einstellungen. Die eingeschulte Person sollte in regelmäßigen Abständen die Verbrauchszähler ablesen (evt. einsehbar über die GLT) und dokumentieren, damit etwaige Überverbräuche festgestellt und bei Bedarf die Einstellungen hin zu einem niedrigen Energieverbrauch optimiert werden können.</t>
  </si>
  <si>
    <t>Alle relevanten Gewerke, die mit ökologischen Kriterien ausgeschrieben wurden, haben die eingesetzten Bauprodukte in PD-Listen deklariert. Alle in den PD-Listen angeführten Bauprodukte wurden auf Konformität zu den lt. Ausschreibung einzuhaltenden ökologischen Kriterien überprüft.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</si>
</sst>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 &quot;€&quot;;[Red]\-#,##0.00\ &quot;€&quot;"/>
    <numFmt numFmtId="165" formatCode="0&quot;.&quot;"/>
    <numFmt numFmtId="166" formatCode="&quot;max. &quot;0"/>
    <numFmt numFmtId="167" formatCode="_-* #,##0_-;\-* #,##0_-;_-* &quot;-&quot;??_-;_-@_-"/>
    <numFmt numFmtId="168" formatCode="0.0"/>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12"/>
      <name val="Arial"/>
      <family val="2"/>
    </font>
    <font>
      <sz val="8"/>
      <name val="Arial"/>
      <family val="2"/>
    </font>
    <font>
      <b/>
      <sz val="10"/>
      <name val="Arial"/>
      <family val="2"/>
    </font>
    <font>
      <b/>
      <sz val="12"/>
      <name val="Arial"/>
      <family val="2"/>
    </font>
    <font>
      <sz val="10"/>
      <color indexed="10"/>
      <name val="Arial"/>
      <family val="2"/>
    </font>
    <font>
      <sz val="12"/>
      <name val="Arial"/>
      <family val="2"/>
    </font>
    <font>
      <b/>
      <sz val="12"/>
      <name val="L Frutiger Light"/>
    </font>
    <font>
      <i/>
      <sz val="10"/>
      <name val="Arial"/>
      <family val="2"/>
    </font>
    <font>
      <b/>
      <sz val="18"/>
      <name val="Arial"/>
      <family val="2"/>
    </font>
    <font>
      <b/>
      <sz val="22"/>
      <name val="Arial"/>
      <family val="2"/>
    </font>
    <font>
      <sz val="10"/>
      <color indexed="8"/>
      <name val="Arial"/>
      <family val="2"/>
    </font>
    <font>
      <sz val="10"/>
      <color indexed="63"/>
      <name val="Arial"/>
      <family val="2"/>
    </font>
    <font>
      <b/>
      <sz val="12"/>
      <color indexed="10"/>
      <name val="Arial"/>
      <family val="2"/>
    </font>
    <font>
      <b/>
      <sz val="10"/>
      <color indexed="8"/>
      <name val="Arial"/>
      <family val="2"/>
    </font>
    <font>
      <b/>
      <vertAlign val="subscript"/>
      <sz val="10"/>
      <name val="Arial"/>
      <family val="2"/>
    </font>
    <font>
      <b/>
      <sz val="12"/>
      <color indexed="8"/>
      <name val="Arial"/>
      <family val="2"/>
    </font>
    <font>
      <sz val="11"/>
      <color indexed="6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u/>
      <sz val="10"/>
      <color indexed="12"/>
      <name val="Arial"/>
      <family val="2"/>
    </font>
    <font>
      <sz val="8"/>
      <name val="Arial"/>
      <family val="2"/>
    </font>
    <font>
      <b/>
      <sz val="16"/>
      <name val="Arial"/>
      <family val="2"/>
    </font>
    <font>
      <sz val="16"/>
      <name val="Arial"/>
      <family val="2"/>
    </font>
    <font>
      <b/>
      <sz val="16"/>
      <name val="L Frutiger Light"/>
    </font>
    <font>
      <b/>
      <sz val="10"/>
      <color indexed="63"/>
      <name val="Arial"/>
      <family val="2"/>
    </font>
    <font>
      <b/>
      <sz val="11"/>
      <name val="Arial"/>
      <family val="2"/>
    </font>
    <font>
      <b/>
      <sz val="11"/>
      <color indexed="8"/>
      <name val="Arial"/>
      <family val="2"/>
    </font>
    <font>
      <sz val="11"/>
      <name val="Arial"/>
      <family val="2"/>
    </font>
    <font>
      <sz val="6"/>
      <name val="Arial"/>
      <family val="2"/>
    </font>
    <font>
      <b/>
      <sz val="9"/>
      <name val="Arial"/>
      <family val="2"/>
    </font>
    <font>
      <b/>
      <sz val="14"/>
      <name val="Arial"/>
      <family val="2"/>
    </font>
    <font>
      <b/>
      <vertAlign val="subscript"/>
      <sz val="10"/>
      <color indexed="8"/>
      <name val="Arial"/>
      <family val="2"/>
    </font>
    <font>
      <sz val="10"/>
      <name val="Arial"/>
      <family val="2"/>
    </font>
    <font>
      <b/>
      <sz val="11"/>
      <color rgb="FF3F3F3F"/>
      <name val="Calibri"/>
      <family val="2"/>
      <scheme val="minor"/>
    </font>
    <font>
      <sz val="11"/>
      <color theme="1"/>
      <name val="Calibri"/>
      <family val="2"/>
      <scheme val="minor"/>
    </font>
    <font>
      <sz val="11"/>
      <color rgb="FF3F3F76"/>
      <name val="Calibri"/>
      <family val="2"/>
      <scheme val="minor"/>
    </font>
    <font>
      <sz val="11"/>
      <color theme="1"/>
      <name val="Arial"/>
      <family val="2"/>
    </font>
    <font>
      <sz val="10"/>
      <color theme="1"/>
      <name val="Arial"/>
      <family val="2"/>
    </font>
    <font>
      <sz val="12"/>
      <color theme="1"/>
      <name val="Arial"/>
      <family val="2"/>
    </font>
    <font>
      <sz val="10"/>
      <color rgb="FF3F3F76"/>
      <name val="Arial"/>
      <family val="2"/>
    </font>
    <font>
      <b/>
      <sz val="10"/>
      <color theme="1"/>
      <name val="Arial"/>
      <family val="2"/>
    </font>
    <font>
      <b/>
      <sz val="11"/>
      <color theme="1"/>
      <name val="Calibri"/>
      <family val="2"/>
      <scheme val="minor"/>
    </font>
    <font>
      <b/>
      <sz val="12"/>
      <color theme="1"/>
      <name val="Arial"/>
      <family val="2"/>
    </font>
    <font>
      <b/>
      <sz val="11"/>
      <color theme="1"/>
      <name val="Arial"/>
      <family val="2"/>
    </font>
    <font>
      <sz val="14"/>
      <name val="Arial"/>
      <family val="2"/>
    </font>
    <font>
      <b/>
      <u/>
      <sz val="11"/>
      <name val="Arial"/>
      <family val="2"/>
    </font>
    <font>
      <b/>
      <u/>
      <sz val="14"/>
      <name val="Arial"/>
      <family val="2"/>
    </font>
    <font>
      <b/>
      <sz val="14"/>
      <color theme="1"/>
      <name val="Calibri"/>
      <family val="2"/>
      <scheme val="minor"/>
    </font>
    <font>
      <b/>
      <u/>
      <sz val="12"/>
      <name val="Arial"/>
      <family val="2"/>
    </font>
    <font>
      <vertAlign val="subscript"/>
      <sz val="10"/>
      <color theme="1"/>
      <name val="Arial"/>
      <family val="2"/>
    </font>
    <font>
      <sz val="22"/>
      <name val="Arial"/>
      <family val="2"/>
    </font>
    <font>
      <b/>
      <i/>
      <sz val="8"/>
      <color rgb="FFFF0000"/>
      <name val="Arial"/>
      <family val="2"/>
    </font>
    <font>
      <b/>
      <vertAlign val="subscript"/>
      <sz val="12"/>
      <name val="Arial"/>
      <family val="2"/>
    </font>
    <font>
      <b/>
      <vertAlign val="subscript"/>
      <sz val="10"/>
      <color theme="1"/>
      <name val="Arial"/>
      <family val="2"/>
    </font>
    <font>
      <sz val="12"/>
      <color theme="0"/>
      <name val="Arial"/>
      <family val="2"/>
    </font>
    <font>
      <vertAlign val="subscript"/>
      <sz val="11"/>
      <color theme="1"/>
      <name val="Arial"/>
      <family val="2"/>
    </font>
    <font>
      <b/>
      <i/>
      <sz val="16"/>
      <name val="Arial"/>
      <family val="2"/>
    </font>
    <font>
      <b/>
      <sz val="11"/>
      <color rgb="FFFF0000"/>
      <name val="Arial"/>
      <family val="2"/>
    </font>
    <font>
      <sz val="11"/>
      <color indexed="62"/>
      <name val="Arial"/>
      <family val="2"/>
    </font>
    <font>
      <i/>
      <u/>
      <sz val="10"/>
      <name val="Arial"/>
      <family val="2"/>
    </font>
    <font>
      <vertAlign val="superscript"/>
      <sz val="10"/>
      <color indexed="8"/>
      <name val="Arial"/>
      <family val="2"/>
    </font>
    <font>
      <b/>
      <sz val="10"/>
      <color rgb="FF000000"/>
      <name val="Arial"/>
      <family val="2"/>
    </font>
    <font>
      <b/>
      <sz val="12"/>
      <color indexed="64"/>
      <name val="Arial"/>
      <family val="2"/>
    </font>
    <font>
      <sz val="8"/>
      <color theme="1"/>
      <name val="Arial"/>
      <family val="2"/>
    </font>
    <font>
      <sz val="10"/>
      <color rgb="FF000000"/>
      <name val="Arial"/>
      <family val="2"/>
    </font>
    <font>
      <vertAlign val="superscript"/>
      <sz val="10"/>
      <name val="Arial"/>
      <family val="2"/>
    </font>
    <font>
      <sz val="10"/>
      <color rgb="FFFF0000"/>
      <name val="Arial"/>
      <family val="2"/>
    </font>
    <font>
      <sz val="11"/>
      <color rgb="FFFF0000"/>
      <name val="Arial"/>
      <family val="2"/>
    </font>
    <font>
      <b/>
      <sz val="16"/>
      <color theme="1"/>
      <name val="Arial"/>
      <family val="2"/>
    </font>
    <font>
      <i/>
      <sz val="10"/>
      <color rgb="FFFF0000"/>
      <name val="Arial"/>
      <family val="2"/>
    </font>
    <font>
      <b/>
      <sz val="14"/>
      <color theme="1"/>
      <name val="Arial"/>
      <family val="2"/>
    </font>
    <font>
      <vertAlign val="subscript"/>
      <sz val="10"/>
      <name val="Arial"/>
      <family val="2"/>
    </font>
    <font>
      <sz val="12"/>
      <color rgb="FFFF0000"/>
      <name val="Arial"/>
      <family val="2"/>
    </font>
  </fonts>
  <fills count="43">
    <fill>
      <patternFill patternType="none"/>
    </fill>
    <fill>
      <patternFill patternType="gray125"/>
    </fill>
    <fill>
      <patternFill patternType="solid">
        <fgColor indexed="4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55"/>
      </patternFill>
    </fill>
    <fill>
      <patternFill patternType="solid">
        <fgColor indexed="55"/>
        <bgColor indexed="64"/>
      </patternFill>
    </fill>
    <fill>
      <patternFill patternType="solid">
        <fgColor rgb="FFF2F2F2"/>
      </patternFill>
    </fill>
    <fill>
      <patternFill patternType="solid">
        <fgColor rgb="FFFFCC99"/>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FF99"/>
        <bgColor indexed="64"/>
      </patternFill>
    </fill>
    <fill>
      <patternFill patternType="solid">
        <fgColor theme="9" tint="-0.249977111117893"/>
        <bgColor indexed="64"/>
      </patternFill>
    </fill>
    <fill>
      <patternFill patternType="solid">
        <fgColor rgb="FF538ED5"/>
        <bgColor indexed="64"/>
      </patternFill>
    </fill>
    <fill>
      <patternFill patternType="solid">
        <fgColor rgb="FFC4D79B"/>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69696"/>
        <bgColor indexed="64"/>
      </patternFill>
    </fill>
    <fill>
      <patternFill patternType="solid">
        <fgColor theme="6" tint="0.59999389629810485"/>
        <bgColor indexed="64"/>
      </patternFill>
    </fill>
    <fill>
      <patternFill patternType="solid">
        <fgColor indexed="47"/>
        <bgColor indexed="47"/>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1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diagonalUp="1">
      <left style="thin">
        <color indexed="64"/>
      </left>
      <right style="medium">
        <color indexed="64"/>
      </right>
      <top/>
      <bottom/>
      <diagonal style="thin">
        <color indexed="64"/>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auto="1"/>
      </left>
      <right/>
      <top/>
      <bottom style="medium">
        <color auto="1"/>
      </bottom>
      <diagonal/>
    </border>
    <border>
      <left/>
      <right style="hair">
        <color indexed="64"/>
      </right>
      <top style="medium">
        <color indexed="64"/>
      </top>
      <bottom/>
      <diagonal/>
    </border>
    <border>
      <left/>
      <right style="hair">
        <color indexed="64"/>
      </right>
      <top style="medium">
        <color indexed="64"/>
      </top>
      <bottom style="medium">
        <color indexed="64"/>
      </bottom>
      <diagonal/>
    </border>
    <border>
      <left/>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rgb="FF3F3F3F"/>
      </right>
      <top/>
      <bottom/>
      <diagonal/>
    </border>
    <border>
      <left style="thin">
        <color rgb="FF3F3F3F"/>
      </left>
      <right/>
      <top style="thin">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thin">
        <color indexed="64"/>
      </bottom>
      <diagonal style="thin">
        <color indexed="64"/>
      </diagonal>
    </border>
    <border>
      <left/>
      <right/>
      <top/>
      <bottom style="medium">
        <color indexed="30"/>
      </bottom>
      <diagonal/>
    </border>
    <border>
      <left/>
      <right/>
      <top/>
      <bottom style="medium">
        <color indexed="64"/>
      </bottom>
      <diagonal/>
    </border>
    <border>
      <left/>
      <right style="medium">
        <color indexed="64"/>
      </right>
      <top/>
      <bottom style="medium">
        <color indexed="64"/>
      </bottom>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theme="1"/>
      </left>
      <right style="thin">
        <color theme="1"/>
      </right>
      <top/>
      <bottom style="thin">
        <color theme="1"/>
      </bottom>
      <diagonal/>
    </border>
  </borders>
  <cellStyleXfs count="1154">
    <xf numFmtId="0" fontId="0" fillId="0" borderId="0"/>
    <xf numFmtId="0" fontId="11" fillId="2" borderId="0" applyNumberFormat="0" applyBorder="0" applyAlignment="0" applyProtection="0"/>
    <xf numFmtId="0" fontId="10" fillId="2" borderId="0" applyNumberFormat="0" applyBorder="0" applyAlignment="0" applyProtection="0"/>
    <xf numFmtId="0" fontId="11"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1"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1"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1"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1"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1"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1"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1"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36" fillId="20" borderId="1" applyNumberFormat="0" applyAlignment="0" applyProtection="0"/>
    <xf numFmtId="0" fontId="58" fillId="24" borderId="73" applyNumberFormat="0" applyAlignment="0" applyProtection="0"/>
    <xf numFmtId="0" fontId="36" fillId="20" borderId="1" applyNumberFormat="0" applyAlignment="0" applyProtection="0"/>
    <xf numFmtId="0" fontId="37" fillId="20" borderId="2" applyNumberFormat="0" applyAlignment="0" applyProtection="0"/>
    <xf numFmtId="0" fontId="37" fillId="20" borderId="2"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29" fillId="7" borderId="2" applyNumberFormat="0" applyAlignment="0" applyProtection="0"/>
    <xf numFmtId="0" fontId="60" fillId="25" borderId="74" applyNumberFormat="0" applyAlignment="0" applyProtection="0"/>
    <xf numFmtId="0" fontId="29" fillId="7" borderId="2" applyNumberFormat="0" applyAlignment="0" applyProtection="0"/>
    <xf numFmtId="0" fontId="29" fillId="7" borderId="2" applyNumberFormat="0" applyAlignment="0" applyProtection="0"/>
    <xf numFmtId="0" fontId="60" fillId="25" borderId="74" applyNumberFormat="0" applyAlignment="0" applyProtection="0"/>
    <xf numFmtId="0" fontId="60" fillId="25" borderId="74" applyNumberFormat="0" applyAlignment="0" applyProtection="0"/>
    <xf numFmtId="0" fontId="60" fillId="25" borderId="74" applyNumberFormat="0" applyAlignment="0" applyProtection="0"/>
    <xf numFmtId="0" fontId="60" fillId="25" borderId="74" applyNumberFormat="0" applyAlignment="0" applyProtection="0"/>
    <xf numFmtId="0" fontId="60" fillId="25" borderId="74" applyNumberFormat="0" applyAlignment="0" applyProtection="0"/>
    <xf numFmtId="0" fontId="60" fillId="25" borderId="74" applyNumberFormat="0" applyAlignment="0" applyProtection="0"/>
    <xf numFmtId="0" fontId="60" fillId="25" borderId="74" applyNumberFormat="0" applyAlignment="0" applyProtection="0"/>
    <xf numFmtId="0" fontId="42" fillId="0" borderId="3" applyNumberFormat="0" applyFill="0" applyAlignment="0" applyProtection="0"/>
    <xf numFmtId="0" fontId="42" fillId="0" borderId="3"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34" fillId="4" borderId="0" applyNumberFormat="0" applyBorder="0" applyAlignment="0" applyProtection="0"/>
    <xf numFmtId="0" fontId="34" fillId="4" borderId="0" applyNumberFormat="0" applyBorder="0" applyAlignment="0" applyProtection="0"/>
    <xf numFmtId="0" fontId="44" fillId="0" borderId="0" applyNumberFormat="0" applyFill="0" applyBorder="0" applyAlignment="0" applyProtection="0">
      <alignment vertical="top"/>
      <protection locked="0"/>
    </xf>
    <xf numFmtId="43" fontId="5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2" fillId="0" borderId="0" applyFont="0" applyFill="0" applyBorder="0" applyAlignment="0" applyProtection="0"/>
    <xf numFmtId="0" fontId="12" fillId="21" borderId="4" applyNumberFormat="0" applyFont="0" applyAlignment="0" applyProtection="0"/>
    <xf numFmtId="0" fontId="12" fillId="21" borderId="4" applyNumberFormat="0" applyFont="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2" fillId="0" borderId="0" applyFont="0" applyFill="0" applyBorder="0" applyAlignment="0" applyProtection="0"/>
    <xf numFmtId="0" fontId="35" fillId="2" borderId="0" applyNumberFormat="0" applyBorder="0" applyAlignment="0" applyProtection="0"/>
    <xf numFmtId="0" fontId="35" fillId="2" borderId="0" applyNumberFormat="0" applyBorder="0" applyAlignment="0" applyProtection="0"/>
    <xf numFmtId="0" fontId="1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0" fillId="0" borderId="0" applyNumberFormat="0" applyFill="0" applyBorder="0" applyAlignment="0" applyProtection="0"/>
    <xf numFmtId="0" fontId="31" fillId="0" borderId="5"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3" fillId="0" borderId="7" applyNumberFormat="0" applyFill="0" applyAlignment="0" applyProtection="0"/>
    <xf numFmtId="0" fontId="33" fillId="0" borderId="7"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0" fillId="0" borderId="0" applyNumberFormat="0" applyFill="0" applyBorder="0" applyAlignment="0" applyProtection="0"/>
    <xf numFmtId="0" fontId="38" fillId="0" borderId="8" applyNumberFormat="0" applyFill="0" applyAlignment="0" applyProtection="0"/>
    <xf numFmtId="0" fontId="38" fillId="0" borderId="8"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9" fillId="22" borderId="9" applyNumberFormat="0" applyAlignment="0" applyProtection="0"/>
    <xf numFmtId="0" fontId="39" fillId="22" borderId="9" applyNumberFormat="0" applyAlignment="0" applyProtection="0"/>
    <xf numFmtId="0" fontId="9" fillId="0" borderId="0"/>
    <xf numFmtId="0" fontId="10" fillId="2"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12" fillId="0" borderId="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36" fillId="20" borderId="1" applyNumberFormat="0" applyAlignment="0" applyProtection="0"/>
    <xf numFmtId="0" fontId="37" fillId="20"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9" fillId="7" borderId="2" applyNumberFormat="0" applyAlignment="0" applyProtection="0"/>
    <xf numFmtId="0" fontId="42" fillId="0" borderId="3" applyNumberFormat="0" applyFill="0" applyAlignment="0" applyProtection="0"/>
    <xf numFmtId="0" fontId="41" fillId="0" borderId="0" applyNumberFormat="0" applyFill="0" applyBorder="0" applyAlignment="0" applyProtection="0"/>
    <xf numFmtId="0" fontId="34" fillId="4" borderId="0" applyNumberFormat="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2" fillId="21" borderId="4"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0" fillId="0" borderId="0" applyNumberFormat="0" applyFill="0" applyBorder="0" applyAlignment="0" applyProtection="0"/>
    <xf numFmtId="0" fontId="31" fillId="0" borderId="5" applyNumberFormat="0" applyFill="0" applyAlignment="0" applyProtection="0"/>
    <xf numFmtId="0" fontId="32" fillId="0" borderId="6" applyNumberFormat="0" applyFill="0" applyAlignment="0" applyProtection="0"/>
    <xf numFmtId="0" fontId="33" fillId="0" borderId="7" applyNumberFormat="0" applyFill="0" applyAlignment="0" applyProtection="0"/>
    <xf numFmtId="0" fontId="33" fillId="0" borderId="0" applyNumberFormat="0" applyFill="0" applyBorder="0" applyAlignment="0" applyProtection="0"/>
    <xf numFmtId="0" fontId="38" fillId="0" borderId="8" applyNumberFormat="0" applyFill="0" applyAlignment="0" applyProtection="0"/>
    <xf numFmtId="0" fontId="40" fillId="0" borderId="0" applyNumberFormat="0" applyFill="0" applyBorder="0" applyAlignment="0" applyProtection="0"/>
    <xf numFmtId="0" fontId="39" fillId="22" borderId="9"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113" applyNumberFormat="0" applyFill="0" applyAlignment="0" applyProtection="0"/>
    <xf numFmtId="0" fontId="33" fillId="0" borderId="113" applyNumberFormat="0" applyFill="0" applyAlignment="0" applyProtection="0"/>
    <xf numFmtId="0" fontId="62" fillId="0" borderId="0"/>
    <xf numFmtId="0" fontId="29" fillId="39" borderId="2" applyNumberFormat="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2" fillId="0" borderId="0"/>
  </cellStyleXfs>
  <cellXfs count="1003">
    <xf numFmtId="0" fontId="0" fillId="0" borderId="0" xfId="0"/>
    <xf numFmtId="0" fontId="12" fillId="0" borderId="46" xfId="0" applyFont="1" applyBorder="1" applyAlignment="1" applyProtection="1">
      <alignment vertical="center"/>
      <protection locked="0"/>
    </xf>
    <xf numFmtId="0" fontId="47" fillId="0" borderId="46" xfId="0" applyFont="1" applyBorder="1" applyAlignment="1" applyProtection="1">
      <alignment vertical="center"/>
      <protection locked="0"/>
    </xf>
    <xf numFmtId="0" fontId="13" fillId="0" borderId="46" xfId="0" applyFont="1" applyBorder="1" applyAlignment="1" applyProtection="1">
      <alignment vertical="center"/>
      <protection locked="0"/>
    </xf>
    <xf numFmtId="0" fontId="0" fillId="0" borderId="46" xfId="0" applyBorder="1" applyAlignment="1" applyProtection="1">
      <alignment vertical="center"/>
      <protection locked="0"/>
    </xf>
    <xf numFmtId="0" fontId="24" fillId="0" borderId="46" xfId="0" applyFont="1" applyBorder="1" applyAlignment="1" applyProtection="1">
      <alignment vertical="center"/>
      <protection locked="0"/>
    </xf>
    <xf numFmtId="0" fontId="47" fillId="0" borderId="46" xfId="0" applyFont="1" applyBorder="1" applyAlignment="1" applyProtection="1">
      <alignment horizontal="center" vertical="center"/>
      <protection locked="0"/>
    </xf>
    <xf numFmtId="0" fontId="12" fillId="0" borderId="46" xfId="0" applyFont="1" applyBorder="1" applyAlignment="1" applyProtection="1">
      <alignment vertical="center" wrapText="1"/>
      <protection locked="0"/>
    </xf>
    <xf numFmtId="1" fontId="16" fillId="26" borderId="44" xfId="0" applyNumberFormat="1" applyFont="1" applyFill="1" applyBorder="1" applyAlignment="1">
      <alignment horizontal="center" vertical="center" wrapText="1"/>
    </xf>
    <xf numFmtId="1" fontId="19" fillId="29" borderId="26" xfId="0" applyNumberFormat="1" applyFont="1" applyFill="1" applyBorder="1" applyAlignment="1" applyProtection="1">
      <alignment horizontal="center" vertical="center" wrapText="1"/>
      <protection locked="0"/>
    </xf>
    <xf numFmtId="1" fontId="19" fillId="29" borderId="52" xfId="0" applyNumberFormat="1" applyFont="1" applyFill="1" applyBorder="1" applyAlignment="1" applyProtection="1">
      <alignment horizontal="center" vertical="center" wrapText="1"/>
      <protection locked="0"/>
    </xf>
    <xf numFmtId="0" fontId="12" fillId="0" borderId="0" xfId="0" applyFont="1" applyAlignment="1">
      <alignment vertical="center"/>
    </xf>
    <xf numFmtId="0" fontId="47" fillId="0" borderId="0" xfId="0" applyFont="1" applyAlignment="1" applyProtection="1">
      <alignment horizontal="center" vertical="center"/>
      <protection locked="0"/>
    </xf>
    <xf numFmtId="0" fontId="12"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47" fillId="0" borderId="0" xfId="0" applyFont="1" applyAlignment="1" applyProtection="1">
      <alignment vertical="center"/>
      <protection locked="0"/>
    </xf>
    <xf numFmtId="0" fontId="13" fillId="0" borderId="0" xfId="0" applyFont="1" applyAlignment="1" applyProtection="1">
      <alignment vertical="center"/>
      <protection locked="0"/>
    </xf>
    <xf numFmtId="0" fontId="0" fillId="0" borderId="0" xfId="0" applyAlignment="1" applyProtection="1">
      <alignment vertical="center"/>
      <protection locked="0"/>
    </xf>
    <xf numFmtId="0" fontId="24" fillId="0" borderId="0" xfId="0" applyFont="1" applyAlignment="1" applyProtection="1">
      <alignment vertical="center"/>
      <protection locked="0"/>
    </xf>
    <xf numFmtId="0" fontId="18" fillId="0" borderId="0" xfId="0" applyFont="1" applyAlignment="1" applyProtection="1">
      <alignment vertical="center"/>
      <protection locked="0"/>
    </xf>
    <xf numFmtId="0" fontId="0" fillId="0" borderId="0" xfId="0" applyAlignment="1">
      <alignment vertical="center"/>
    </xf>
    <xf numFmtId="0" fontId="12" fillId="0" borderId="53" xfId="0" applyFont="1" applyBorder="1" applyAlignment="1" applyProtection="1">
      <alignment vertical="center" wrapText="1"/>
      <protection locked="0"/>
    </xf>
    <xf numFmtId="0" fontId="12" fillId="0" borderId="53" xfId="0" applyFont="1" applyBorder="1" applyAlignment="1" applyProtection="1">
      <alignment vertical="center"/>
      <protection locked="0"/>
    </xf>
    <xf numFmtId="0" fontId="47" fillId="0" borderId="53" xfId="0" applyFont="1" applyBorder="1" applyAlignment="1" applyProtection="1">
      <alignment vertical="center"/>
      <protection locked="0"/>
    </xf>
    <xf numFmtId="0" fontId="13" fillId="0" borderId="53" xfId="0" applyFont="1" applyBorder="1" applyAlignment="1" applyProtection="1">
      <alignment vertical="center"/>
      <protection locked="0"/>
    </xf>
    <xf numFmtId="0" fontId="0" fillId="0" borderId="53" xfId="0" applyBorder="1" applyAlignment="1" applyProtection="1">
      <alignment vertical="center"/>
      <protection locked="0"/>
    </xf>
    <xf numFmtId="0" fontId="24" fillId="0" borderId="53" xfId="0" applyFont="1" applyBorder="1" applyAlignment="1" applyProtection="1">
      <alignment vertical="center"/>
      <protection locked="0"/>
    </xf>
    <xf numFmtId="0" fontId="0" fillId="0" borderId="0" xfId="0" applyAlignment="1" applyProtection="1">
      <alignment horizontal="center" vertical="center"/>
      <protection locked="0"/>
    </xf>
    <xf numFmtId="165" fontId="0" fillId="0" borderId="0" xfId="0" applyNumberFormat="1" applyAlignment="1" applyProtection="1">
      <alignment horizontal="center" vertical="center"/>
      <protection locked="0"/>
    </xf>
    <xf numFmtId="0" fontId="0" fillId="0" borderId="0" xfId="0" applyAlignment="1" applyProtection="1">
      <alignment vertical="center" wrapText="1"/>
      <protection locked="0"/>
    </xf>
    <xf numFmtId="14" fontId="0" fillId="0" borderId="0" xfId="0" applyNumberFormat="1" applyAlignment="1" applyProtection="1">
      <alignment textRotation="90" wrapText="1"/>
      <protection locked="0"/>
    </xf>
    <xf numFmtId="0" fontId="0" fillId="0" borderId="0" xfId="0" applyAlignment="1" applyProtection="1">
      <alignment horizontal="left" vertical="center"/>
      <protection locked="0"/>
    </xf>
    <xf numFmtId="0" fontId="46" fillId="0" borderId="39" xfId="0" applyFont="1" applyBorder="1" applyAlignment="1" applyProtection="1">
      <alignment vertical="center" wrapText="1"/>
      <protection locked="0"/>
    </xf>
    <xf numFmtId="14" fontId="46" fillId="0" borderId="54" xfId="0" applyNumberFormat="1" applyFont="1" applyBorder="1" applyAlignment="1" applyProtection="1">
      <alignment vertical="center"/>
      <protection locked="0"/>
    </xf>
    <xf numFmtId="0" fontId="46" fillId="0" borderId="0" xfId="0" applyFont="1" applyAlignment="1" applyProtection="1">
      <alignment vertical="center"/>
      <protection locked="0"/>
    </xf>
    <xf numFmtId="0" fontId="0" fillId="0" borderId="55" xfId="0" applyBorder="1" applyAlignment="1" applyProtection="1">
      <alignment vertical="center" wrapText="1"/>
      <protection locked="0"/>
    </xf>
    <xf numFmtId="0" fontId="15" fillId="0" borderId="10"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wrapText="1"/>
      <protection locked="0"/>
    </xf>
    <xf numFmtId="0" fontId="47" fillId="0" borderId="0" xfId="0" applyFont="1" applyAlignment="1" applyProtection="1">
      <alignment horizontal="center" vertical="center" wrapText="1"/>
      <protection locked="0"/>
    </xf>
    <xf numFmtId="165" fontId="12" fillId="0" borderId="14" xfId="0" applyNumberFormat="1" applyFont="1" applyBorder="1" applyAlignment="1" applyProtection="1">
      <alignment horizontal="center" vertical="center"/>
      <protection locked="0"/>
    </xf>
    <xf numFmtId="1" fontId="46" fillId="31" borderId="58" xfId="107" applyNumberFormat="1" applyFont="1" applyFill="1" applyBorder="1" applyAlignment="1" applyProtection="1">
      <alignment horizontal="center" vertical="center"/>
      <protection locked="0"/>
    </xf>
    <xf numFmtId="1" fontId="46" fillId="31" borderId="59" xfId="107" applyNumberFormat="1" applyFont="1" applyFill="1" applyBorder="1" applyAlignment="1" applyProtection="1">
      <alignment horizontal="center" vertical="center"/>
      <protection locked="0"/>
    </xf>
    <xf numFmtId="1" fontId="16" fillId="26" borderId="44" xfId="0" applyNumberFormat="1" applyFont="1" applyFill="1" applyBorder="1" applyAlignment="1" applyProtection="1">
      <alignment horizontal="center" vertical="center" wrapText="1"/>
      <protection locked="0"/>
    </xf>
    <xf numFmtId="0" fontId="12" fillId="0" borderId="14" xfId="0" applyFont="1" applyBorder="1" applyAlignment="1" applyProtection="1">
      <alignment vertical="center" wrapText="1"/>
      <protection locked="0"/>
    </xf>
    <xf numFmtId="1" fontId="19" fillId="26" borderId="44" xfId="0" applyNumberFormat="1" applyFont="1" applyFill="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47" fillId="0" borderId="0" xfId="0" applyFont="1" applyAlignment="1" applyProtection="1">
      <alignment vertical="center" wrapText="1"/>
      <protection locked="0"/>
    </xf>
    <xf numFmtId="0" fontId="47" fillId="0" borderId="14" xfId="0" applyFont="1" applyBorder="1" applyAlignment="1" applyProtection="1">
      <alignment vertical="center" wrapText="1"/>
      <protection locked="0"/>
    </xf>
    <xf numFmtId="1" fontId="48" fillId="32" borderId="59" xfId="0" applyNumberFormat="1" applyFont="1" applyFill="1" applyBorder="1" applyAlignment="1" applyProtection="1">
      <alignment horizontal="center" vertical="center" wrapText="1"/>
      <protection locked="0"/>
    </xf>
    <xf numFmtId="0" fontId="13" fillId="0" borderId="0" xfId="0" applyFont="1" applyAlignment="1" applyProtection="1">
      <alignment vertical="center" wrapText="1"/>
      <protection locked="0"/>
    </xf>
    <xf numFmtId="0" fontId="13" fillId="0" borderId="14" xfId="0" applyFont="1" applyBorder="1" applyAlignment="1" applyProtection="1">
      <alignment vertical="center" wrapText="1"/>
      <protection locked="0"/>
    </xf>
    <xf numFmtId="0" fontId="0" fillId="0" borderId="14" xfId="0" applyBorder="1" applyAlignment="1" applyProtection="1">
      <alignment vertical="center" wrapText="1"/>
      <protection locked="0"/>
    </xf>
    <xf numFmtId="0" fontId="24" fillId="0" borderId="0" xfId="0" applyFont="1" applyAlignment="1" applyProtection="1">
      <alignment vertical="center" wrapText="1"/>
      <protection locked="0"/>
    </xf>
    <xf numFmtId="0" fontId="24" fillId="0" borderId="14" xfId="0" applyFont="1" applyBorder="1" applyAlignment="1" applyProtection="1">
      <alignment vertical="center" wrapText="1"/>
      <protection locked="0"/>
    </xf>
    <xf numFmtId="1" fontId="48" fillId="33" borderId="59" xfId="0" applyNumberFormat="1" applyFont="1" applyFill="1" applyBorder="1" applyAlignment="1" applyProtection="1">
      <alignment horizontal="center" vertical="center" wrapText="1"/>
      <protection locked="0"/>
    </xf>
    <xf numFmtId="1" fontId="19" fillId="30" borderId="45" xfId="0" applyNumberFormat="1" applyFont="1" applyFill="1" applyBorder="1" applyAlignment="1" applyProtection="1">
      <alignment horizontal="center" vertical="center" wrapText="1"/>
      <protection locked="0"/>
    </xf>
    <xf numFmtId="1" fontId="48" fillId="23" borderId="59" xfId="0" applyNumberFormat="1" applyFont="1" applyFill="1" applyBorder="1" applyAlignment="1" applyProtection="1">
      <alignment horizontal="center" vertical="center" wrapText="1"/>
      <protection locked="0"/>
    </xf>
    <xf numFmtId="1" fontId="19" fillId="0" borderId="0" xfId="0" applyNumberFormat="1" applyFont="1" applyAlignment="1" applyProtection="1">
      <alignment horizontal="center" vertical="center" wrapText="1"/>
      <protection locked="0"/>
    </xf>
    <xf numFmtId="1" fontId="19" fillId="0" borderId="14" xfId="0" applyNumberFormat="1" applyFont="1" applyBorder="1" applyAlignment="1" applyProtection="1">
      <alignment horizontal="center" vertical="center" wrapText="1"/>
      <protection locked="0"/>
    </xf>
    <xf numFmtId="0" fontId="16" fillId="27" borderId="45" xfId="0" applyFont="1" applyFill="1" applyBorder="1" applyAlignment="1" applyProtection="1">
      <alignment horizontal="center" vertical="center" wrapText="1"/>
      <protection locked="0"/>
    </xf>
    <xf numFmtId="1" fontId="19" fillId="26" borderId="45" xfId="0" applyNumberFormat="1" applyFont="1" applyFill="1" applyBorder="1" applyAlignment="1" applyProtection="1">
      <alignment horizontal="center" vertical="center" wrapText="1"/>
      <protection locked="0"/>
    </xf>
    <xf numFmtId="1" fontId="19" fillId="27" borderId="45" xfId="0" applyNumberFormat="1" applyFont="1" applyFill="1" applyBorder="1" applyAlignment="1" applyProtection="1">
      <alignment horizontal="center" vertical="center" wrapText="1"/>
      <protection locked="0"/>
    </xf>
    <xf numFmtId="3" fontId="16" fillId="0" borderId="12" xfId="0" applyNumberFormat="1" applyFont="1" applyBorder="1" applyAlignment="1" applyProtection="1">
      <alignment horizontal="center" vertical="center"/>
      <protection locked="0"/>
    </xf>
    <xf numFmtId="0" fontId="0" fillId="0" borderId="21" xfId="0" applyBorder="1" applyAlignment="1" applyProtection="1">
      <alignment vertical="center"/>
      <protection locked="0"/>
    </xf>
    <xf numFmtId="0" fontId="25" fillId="0" borderId="0" xfId="0" applyFont="1" applyAlignment="1" applyProtection="1">
      <alignment vertical="center" wrapText="1"/>
      <protection locked="0"/>
    </xf>
    <xf numFmtId="0" fontId="12" fillId="0" borderId="0" xfId="0" applyFont="1" applyAlignment="1" applyProtection="1">
      <alignment horizontal="center" vertical="center"/>
      <protection locked="0"/>
    </xf>
    <xf numFmtId="0" fontId="0" fillId="0" borderId="0" xfId="0" applyAlignment="1">
      <alignment horizontal="center" vertical="center"/>
    </xf>
    <xf numFmtId="165" fontId="0" fillId="0" borderId="0" xfId="0" applyNumberFormat="1" applyAlignment="1">
      <alignment horizontal="center" vertical="center"/>
    </xf>
    <xf numFmtId="0" fontId="0" fillId="0" borderId="0" xfId="0" applyAlignment="1">
      <alignment vertical="center" wrapText="1"/>
    </xf>
    <xf numFmtId="0" fontId="21" fillId="0" borderId="0" xfId="0" applyFont="1" applyAlignment="1">
      <alignment horizontal="center" vertical="center"/>
    </xf>
    <xf numFmtId="0" fontId="15" fillId="0" borderId="62" xfId="0" applyFont="1" applyBorder="1" applyAlignment="1">
      <alignment horizontal="center" vertical="center" wrapText="1"/>
    </xf>
    <xf numFmtId="0" fontId="47" fillId="0" borderId="0" xfId="0" applyFont="1" applyAlignment="1">
      <alignment horizontal="center" vertical="center"/>
    </xf>
    <xf numFmtId="0" fontId="47" fillId="0" borderId="0" xfId="0" applyFont="1" applyAlignment="1">
      <alignment horizontal="center" vertical="center" wrapText="1"/>
    </xf>
    <xf numFmtId="0" fontId="15" fillId="0" borderId="17" xfId="0" applyFont="1" applyBorder="1" applyAlignment="1">
      <alignment horizontal="center" vertical="center"/>
    </xf>
    <xf numFmtId="0" fontId="15" fillId="0" borderId="10" xfId="0" applyFont="1" applyBorder="1" applyAlignment="1">
      <alignment horizontal="lef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47" fillId="0" borderId="0" xfId="0" applyFont="1" applyAlignment="1">
      <alignment vertical="center"/>
    </xf>
    <xf numFmtId="0" fontId="46" fillId="32" borderId="64" xfId="0" applyFont="1" applyFill="1" applyBorder="1" applyAlignment="1">
      <alignment horizontal="center" vertical="center"/>
    </xf>
    <xf numFmtId="0" fontId="47" fillId="0" borderId="0" xfId="0"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5" fillId="0" borderId="10" xfId="0" applyFont="1" applyBorder="1" applyAlignment="1">
      <alignment vertical="center" wrapText="1"/>
    </xf>
    <xf numFmtId="0" fontId="15" fillId="0" borderId="10" xfId="0" applyFont="1" applyBorder="1" applyAlignment="1">
      <alignment horizontal="center" vertical="center" wrapText="1"/>
    </xf>
    <xf numFmtId="0" fontId="26" fillId="0" borderId="10" xfId="0" applyFont="1" applyBorder="1" applyAlignment="1">
      <alignment vertical="center" wrapText="1"/>
    </xf>
    <xf numFmtId="0" fontId="24" fillId="0" borderId="0" xfId="0" applyFont="1" applyAlignment="1">
      <alignment vertical="center"/>
    </xf>
    <xf numFmtId="0" fontId="49" fillId="0" borderId="17" xfId="0" applyFont="1" applyBorder="1" applyAlignment="1">
      <alignment horizontal="center" vertical="center"/>
    </xf>
    <xf numFmtId="165" fontId="49" fillId="0" borderId="10" xfId="0" applyNumberFormat="1" applyFont="1" applyBorder="1" applyAlignment="1">
      <alignment horizontal="center" vertical="center"/>
    </xf>
    <xf numFmtId="0" fontId="24" fillId="0" borderId="0" xfId="0" applyFont="1" applyAlignment="1">
      <alignment vertical="center" wrapText="1"/>
    </xf>
    <xf numFmtId="165" fontId="15" fillId="0" borderId="10" xfId="0" applyNumberFormat="1" applyFont="1" applyBorder="1" applyAlignment="1">
      <alignment horizontal="center" vertical="center"/>
    </xf>
    <xf numFmtId="0" fontId="20" fillId="0" borderId="0" xfId="0" applyFont="1" applyAlignment="1">
      <alignment horizontal="center" vertical="center" wrapText="1"/>
    </xf>
    <xf numFmtId="0" fontId="46" fillId="33" borderId="64" xfId="0" applyFont="1" applyFill="1" applyBorder="1" applyAlignment="1">
      <alignment horizontal="center" vertical="center"/>
    </xf>
    <xf numFmtId="165" fontId="46" fillId="33" borderId="65" xfId="0" applyNumberFormat="1" applyFont="1" applyFill="1" applyBorder="1" applyAlignment="1">
      <alignment horizontal="center" vertical="center"/>
    </xf>
    <xf numFmtId="0" fontId="16" fillId="30" borderId="17" xfId="0" applyFont="1" applyFill="1" applyBorder="1" applyAlignment="1">
      <alignment horizontal="center" vertical="center"/>
    </xf>
    <xf numFmtId="165" fontId="16" fillId="30" borderId="10" xfId="0" applyNumberFormat="1" applyFont="1" applyFill="1" applyBorder="1" applyAlignment="1">
      <alignment horizontal="center" vertical="center"/>
    </xf>
    <xf numFmtId="0" fontId="16" fillId="30" borderId="10" xfId="0" applyFont="1" applyFill="1" applyBorder="1" applyAlignment="1">
      <alignment vertical="center" wrapText="1"/>
    </xf>
    <xf numFmtId="0" fontId="17" fillId="0" borderId="0" xfId="0" applyFont="1" applyAlignment="1">
      <alignment vertical="center" wrapText="1"/>
    </xf>
    <xf numFmtId="0" fontId="46" fillId="23" borderId="64" xfId="0" applyFont="1" applyFill="1" applyBorder="1" applyAlignment="1">
      <alignment horizontal="center" vertical="center"/>
    </xf>
    <xf numFmtId="165" fontId="46" fillId="23" borderId="65" xfId="0" applyNumberFormat="1" applyFont="1" applyFill="1" applyBorder="1" applyAlignment="1">
      <alignment horizontal="center" vertical="center"/>
    </xf>
    <xf numFmtId="0" fontId="16" fillId="27" borderId="10" xfId="0" applyFont="1" applyFill="1" applyBorder="1" applyAlignment="1">
      <alignment vertical="center" wrapText="1"/>
    </xf>
    <xf numFmtId="1" fontId="19" fillId="0" borderId="0" xfId="0" applyNumberFormat="1" applyFont="1" applyAlignment="1">
      <alignment horizontal="center" vertical="center" wrapText="1"/>
    </xf>
    <xf numFmtId="166" fontId="15" fillId="0" borderId="19" xfId="0" applyNumberFormat="1" applyFont="1" applyBorder="1" applyAlignment="1">
      <alignment horizontal="center" vertical="center" wrapText="1"/>
    </xf>
    <xf numFmtId="0" fontId="15" fillId="0" borderId="37" xfId="0" applyFont="1" applyBorder="1" applyAlignment="1">
      <alignment horizontal="left" vertical="center" wrapText="1"/>
    </xf>
    <xf numFmtId="165" fontId="22" fillId="0" borderId="0" xfId="0" applyNumberFormat="1" applyFont="1" applyAlignment="1">
      <alignment horizontal="center" vertical="center"/>
    </xf>
    <xf numFmtId="0" fontId="15" fillId="0" borderId="61" xfId="0" applyFont="1" applyBorder="1" applyAlignment="1">
      <alignment horizontal="center" vertical="center" wrapText="1"/>
    </xf>
    <xf numFmtId="167" fontId="15" fillId="0" borderId="10" xfId="86" applyNumberFormat="1" applyFont="1" applyBorder="1" applyAlignment="1" applyProtection="1">
      <alignment horizontal="center" vertical="center" wrapText="1"/>
    </xf>
    <xf numFmtId="0" fontId="69" fillId="0" borderId="0" xfId="0" applyFont="1" applyAlignment="1">
      <alignment vertical="center"/>
    </xf>
    <xf numFmtId="0" fontId="55" fillId="0" borderId="0" xfId="0" applyFont="1" applyAlignment="1">
      <alignment vertical="center" wrapText="1"/>
    </xf>
    <xf numFmtId="0" fontId="69" fillId="0" borderId="0" xfId="0" applyFont="1" applyAlignment="1">
      <alignment vertical="center" wrapText="1"/>
    </xf>
    <xf numFmtId="0" fontId="69" fillId="0" borderId="0" xfId="0" applyFont="1" applyAlignment="1" applyProtection="1">
      <alignment vertical="center" wrapText="1"/>
      <protection locked="0"/>
    </xf>
    <xf numFmtId="0" fontId="55" fillId="0" borderId="0" xfId="0" applyFont="1" applyAlignment="1" applyProtection="1">
      <alignment vertical="center" wrapText="1"/>
      <protection locked="0"/>
    </xf>
    <xf numFmtId="14" fontId="55" fillId="0" borderId="0" xfId="0" applyNumberFormat="1" applyFont="1" applyAlignment="1" applyProtection="1">
      <alignment vertical="center"/>
      <protection locked="0"/>
    </xf>
    <xf numFmtId="0" fontId="55" fillId="0" borderId="0" xfId="0" applyFont="1" applyAlignment="1" applyProtection="1">
      <alignment vertical="center"/>
      <protection locked="0"/>
    </xf>
    <xf numFmtId="0" fontId="69" fillId="0" borderId="0" xfId="0" applyFont="1" applyAlignment="1" applyProtection="1">
      <alignment vertical="center"/>
      <protection locked="0"/>
    </xf>
    <xf numFmtId="165" fontId="50" fillId="0" borderId="0" xfId="0" applyNumberFormat="1" applyFont="1" applyAlignment="1">
      <alignment horizontal="center" vertical="center"/>
    </xf>
    <xf numFmtId="0" fontId="70" fillId="0" borderId="0" xfId="0" applyFont="1" applyAlignment="1">
      <alignment horizontal="left" vertical="center"/>
    </xf>
    <xf numFmtId="0" fontId="15" fillId="0" borderId="30" xfId="0" applyFont="1" applyBorder="1" applyAlignment="1">
      <alignment horizontal="center" vertical="center" wrapText="1"/>
    </xf>
    <xf numFmtId="167" fontId="15" fillId="0" borderId="37" xfId="86" applyNumberFormat="1" applyFont="1" applyBorder="1" applyAlignment="1" applyProtection="1">
      <alignment horizontal="center" vertical="center" wrapText="1"/>
    </xf>
    <xf numFmtId="1" fontId="16" fillId="26" borderId="22" xfId="0" applyNumberFormat="1" applyFont="1" applyFill="1" applyBorder="1" applyAlignment="1">
      <alignment horizontal="center" vertical="center" wrapText="1"/>
    </xf>
    <xf numFmtId="0" fontId="12" fillId="29" borderId="10" xfId="72" applyFont="1" applyFill="1" applyBorder="1" applyAlignment="1" applyProtection="1">
      <alignment horizontal="center" vertical="center"/>
      <protection locked="0"/>
    </xf>
    <xf numFmtId="0" fontId="12" fillId="0" borderId="14" xfId="0" applyFont="1" applyBorder="1" applyAlignment="1" applyProtection="1">
      <alignment vertical="center"/>
      <protection locked="0"/>
    </xf>
    <xf numFmtId="0" fontId="47" fillId="0" borderId="20" xfId="0" applyFont="1" applyBorder="1" applyAlignment="1">
      <alignment horizontal="center" vertical="center" wrapText="1"/>
    </xf>
    <xf numFmtId="0" fontId="12" fillId="0" borderId="20" xfId="0" applyFont="1" applyBorder="1" applyAlignment="1">
      <alignment vertical="center"/>
    </xf>
    <xf numFmtId="1" fontId="46" fillId="31" borderId="59" xfId="107" applyNumberFormat="1" applyFont="1" applyFill="1" applyBorder="1" applyAlignment="1">
      <alignment horizontal="center" vertical="center"/>
    </xf>
    <xf numFmtId="1" fontId="46" fillId="31" borderId="72" xfId="107" applyNumberFormat="1" applyFont="1" applyFill="1" applyBorder="1" applyAlignment="1">
      <alignment horizontal="center" vertical="center"/>
    </xf>
    <xf numFmtId="0" fontId="46" fillId="31" borderId="71" xfId="0" applyFont="1" applyFill="1" applyBorder="1" applyAlignment="1">
      <alignment horizontal="left" vertical="center" wrapText="1"/>
    </xf>
    <xf numFmtId="0" fontId="46" fillId="32" borderId="71" xfId="0" applyFont="1" applyFill="1" applyBorder="1" applyAlignment="1">
      <alignment vertical="center" wrapText="1"/>
    </xf>
    <xf numFmtId="0" fontId="46" fillId="33" borderId="65" xfId="0" applyFont="1" applyFill="1" applyBorder="1" applyAlignment="1">
      <alignment horizontal="left" vertical="center" wrapText="1"/>
    </xf>
    <xf numFmtId="0" fontId="46" fillId="33" borderId="79" xfId="0" applyFont="1" applyFill="1" applyBorder="1" applyAlignment="1">
      <alignment horizontal="left" vertical="center" wrapText="1"/>
    </xf>
    <xf numFmtId="0" fontId="46" fillId="23" borderId="71" xfId="0" applyFont="1" applyFill="1" applyBorder="1" applyAlignment="1">
      <alignment vertical="center" wrapText="1"/>
    </xf>
    <xf numFmtId="165" fontId="15" fillId="0" borderId="37" xfId="0" applyNumberFormat="1" applyFont="1" applyBorder="1" applyAlignment="1">
      <alignment horizontal="center" vertical="center"/>
    </xf>
    <xf numFmtId="1" fontId="16" fillId="26" borderId="24" xfId="0" applyNumberFormat="1" applyFont="1" applyFill="1" applyBorder="1" applyAlignment="1">
      <alignment horizontal="center" vertical="center" wrapText="1"/>
    </xf>
    <xf numFmtId="1" fontId="16" fillId="26" borderId="14" xfId="0" applyNumberFormat="1" applyFont="1" applyFill="1" applyBorder="1" applyAlignment="1">
      <alignment horizontal="center" vertical="center" wrapText="1"/>
    </xf>
    <xf numFmtId="0" fontId="12" fillId="0" borderId="20" xfId="0" applyFont="1" applyBorder="1" applyAlignment="1">
      <alignment vertical="center" wrapText="1"/>
    </xf>
    <xf numFmtId="0" fontId="24" fillId="0" borderId="20" xfId="0" applyFont="1" applyBorder="1" applyAlignment="1">
      <alignment vertical="center" wrapText="1"/>
    </xf>
    <xf numFmtId="0" fontId="12" fillId="0" borderId="14" xfId="0" applyFont="1" applyBorder="1" applyAlignment="1">
      <alignment vertical="center" wrapText="1"/>
    </xf>
    <xf numFmtId="0" fontId="24" fillId="0" borderId="14" xfId="0" applyFont="1" applyBorder="1" applyAlignment="1">
      <alignment vertical="center" wrapText="1"/>
    </xf>
    <xf numFmtId="0" fontId="0" fillId="0" borderId="20" xfId="0" applyBorder="1" applyAlignment="1">
      <alignment vertical="center" wrapText="1"/>
    </xf>
    <xf numFmtId="0" fontId="13" fillId="0" borderId="20" xfId="0" applyFont="1" applyBorder="1" applyAlignment="1">
      <alignment vertical="center" wrapText="1"/>
    </xf>
    <xf numFmtId="0" fontId="47" fillId="0" borderId="20" xfId="0" applyFont="1" applyBorder="1" applyAlignment="1">
      <alignment vertical="center" wrapText="1"/>
    </xf>
    <xf numFmtId="166" fontId="15" fillId="0" borderId="46" xfId="0" applyNumberFormat="1" applyFont="1" applyBorder="1" applyAlignment="1">
      <alignment horizontal="center" vertical="center" wrapText="1"/>
    </xf>
    <xf numFmtId="0" fontId="0" fillId="0" borderId="14" xfId="0" applyBorder="1" applyAlignment="1">
      <alignment vertical="center" wrapText="1"/>
    </xf>
    <xf numFmtId="0" fontId="13" fillId="0" borderId="14" xfId="0" applyFont="1" applyBorder="1" applyAlignment="1">
      <alignment vertical="center" wrapText="1"/>
    </xf>
    <xf numFmtId="0" fontId="47" fillId="0" borderId="14" xfId="0" applyFont="1" applyBorder="1" applyAlignment="1">
      <alignment vertical="center" wrapText="1"/>
    </xf>
    <xf numFmtId="0" fontId="47" fillId="0" borderId="14" xfId="0" applyFont="1" applyBorder="1" applyAlignment="1">
      <alignment horizontal="center" vertical="center" wrapText="1"/>
    </xf>
    <xf numFmtId="0" fontId="12" fillId="0" borderId="14" xfId="0" applyFont="1" applyBorder="1" applyAlignment="1">
      <alignment vertical="center"/>
    </xf>
    <xf numFmtId="0" fontId="15" fillId="0" borderId="23" xfId="0" applyFont="1" applyBorder="1" applyAlignment="1">
      <alignment horizontal="center" vertical="center"/>
    </xf>
    <xf numFmtId="1" fontId="19" fillId="26" borderId="14" xfId="0" applyNumberFormat="1" applyFont="1" applyFill="1" applyBorder="1" applyAlignment="1" applyProtection="1">
      <alignment horizontal="center" vertical="center" wrapText="1"/>
      <protection locked="0"/>
    </xf>
    <xf numFmtId="0" fontId="26" fillId="0" borderId="88" xfId="107" applyFont="1" applyBorder="1" applyAlignment="1">
      <alignment vertical="center" wrapText="1"/>
    </xf>
    <xf numFmtId="0" fontId="26" fillId="0" borderId="10" xfId="107" applyFont="1" applyBorder="1" applyAlignment="1">
      <alignment vertical="center" wrapText="1"/>
    </xf>
    <xf numFmtId="0" fontId="15" fillId="0" borderId="23" xfId="0" applyFont="1" applyBorder="1" applyAlignment="1">
      <alignment horizontal="center" vertical="center" wrapText="1"/>
    </xf>
    <xf numFmtId="1" fontId="16" fillId="27" borderId="22" xfId="0" applyNumberFormat="1" applyFont="1" applyFill="1" applyBorder="1" applyAlignment="1">
      <alignment horizontal="center" vertical="center" wrapText="1"/>
    </xf>
    <xf numFmtId="166" fontId="15" fillId="0" borderId="23" xfId="0" applyNumberFormat="1" applyFont="1" applyBorder="1" applyAlignment="1">
      <alignment horizontal="center" vertical="center" wrapText="1"/>
    </xf>
    <xf numFmtId="166" fontId="46" fillId="0" borderId="80" xfId="0" applyNumberFormat="1" applyFont="1" applyBorder="1" applyAlignment="1">
      <alignment horizontal="center" vertical="center"/>
    </xf>
    <xf numFmtId="3" fontId="46" fillId="0" borderId="81" xfId="0" applyNumberFormat="1" applyFont="1" applyBorder="1" applyAlignment="1">
      <alignment horizontal="center" vertical="center"/>
    </xf>
    <xf numFmtId="1" fontId="19" fillId="26" borderId="31" xfId="0" applyNumberFormat="1" applyFont="1" applyFill="1" applyBorder="1" applyAlignment="1" applyProtection="1">
      <alignment horizontal="center" vertical="center" wrapText="1"/>
      <protection locked="0"/>
    </xf>
    <xf numFmtId="1" fontId="19" fillId="26" borderId="26" xfId="0" applyNumberFormat="1" applyFont="1" applyFill="1" applyBorder="1" applyAlignment="1" applyProtection="1">
      <alignment horizontal="center" vertical="center" wrapText="1"/>
      <protection locked="0"/>
    </xf>
    <xf numFmtId="0" fontId="12" fillId="0" borderId="10" xfId="107" applyBorder="1" applyAlignment="1">
      <alignment vertical="center"/>
    </xf>
    <xf numFmtId="0" fontId="12" fillId="0" borderId="25" xfId="0" applyFont="1" applyBorder="1" applyAlignment="1">
      <alignment vertical="center" wrapText="1"/>
    </xf>
    <xf numFmtId="0" fontId="0" fillId="0" borderId="25" xfId="0" applyBorder="1" applyAlignment="1">
      <alignment vertical="center" wrapText="1"/>
    </xf>
    <xf numFmtId="166" fontId="15" fillId="0" borderId="17" xfId="0" applyNumberFormat="1" applyFont="1" applyBorder="1" applyAlignment="1">
      <alignment horizontal="center" vertical="center" wrapText="1"/>
    </xf>
    <xf numFmtId="0" fontId="20" fillId="0" borderId="47" xfId="0" applyFont="1" applyBorder="1" applyAlignment="1">
      <alignment horizontal="center" vertical="center" wrapText="1"/>
    </xf>
    <xf numFmtId="166" fontId="15" fillId="0" borderId="56" xfId="0" applyNumberFormat="1" applyFont="1" applyBorder="1" applyAlignment="1">
      <alignment horizontal="center" vertical="center" wrapText="1"/>
    </xf>
    <xf numFmtId="0" fontId="46" fillId="0" borderId="60" xfId="0" applyFont="1" applyBorder="1" applyAlignment="1">
      <alignment horizontal="right" vertical="center" wrapText="1"/>
    </xf>
    <xf numFmtId="0" fontId="12" fillId="0" borderId="36" xfId="107" applyBorder="1"/>
    <xf numFmtId="0" fontId="61" fillId="0" borderId="0" xfId="109" applyFont="1" applyAlignment="1">
      <alignment vertical="center"/>
    </xf>
    <xf numFmtId="0" fontId="66" fillId="0" borderId="0" xfId="145" applyFont="1" applyAlignment="1">
      <alignment horizontal="center"/>
    </xf>
    <xf numFmtId="0" fontId="13" fillId="0" borderId="0" xfId="107" applyFont="1" applyAlignment="1">
      <alignment vertical="center"/>
    </xf>
    <xf numFmtId="0" fontId="9" fillId="0" borderId="14" xfId="145" applyBorder="1"/>
    <xf numFmtId="0" fontId="72" fillId="0" borderId="0" xfId="145" applyFont="1"/>
    <xf numFmtId="0" fontId="62" fillId="0" borderId="10" xfId="108" applyFont="1" applyBorder="1" applyAlignment="1">
      <alignment vertical="center"/>
    </xf>
    <xf numFmtId="0" fontId="12" fillId="0" borderId="0" xfId="107" applyAlignment="1">
      <alignment vertical="center"/>
    </xf>
    <xf numFmtId="0" fontId="16" fillId="0" borderId="0" xfId="107" applyFont="1" applyAlignment="1">
      <alignment horizontal="right" vertical="center"/>
    </xf>
    <xf numFmtId="0" fontId="62" fillId="0" borderId="0" xfId="109" applyFont="1" applyAlignment="1">
      <alignment vertical="center"/>
    </xf>
    <xf numFmtId="0" fontId="9" fillId="0" borderId="0" xfId="145" applyAlignment="1">
      <alignment horizontal="center"/>
    </xf>
    <xf numFmtId="0" fontId="9" fillId="0" borderId="77" xfId="145" applyBorder="1"/>
    <xf numFmtId="0" fontId="63" fillId="0" borderId="0" xfId="109" applyFont="1" applyAlignment="1">
      <alignment vertical="center"/>
    </xf>
    <xf numFmtId="1" fontId="16" fillId="29" borderId="10" xfId="0" applyNumberFormat="1" applyFont="1" applyFill="1" applyBorder="1" applyAlignment="1">
      <alignment horizontal="center" vertical="center" wrapText="1"/>
    </xf>
    <xf numFmtId="0" fontId="61" fillId="0" borderId="0" xfId="109" applyFont="1"/>
    <xf numFmtId="0" fontId="65" fillId="0" borderId="10" xfId="108" applyFont="1" applyBorder="1" applyAlignment="1">
      <alignment vertical="center"/>
    </xf>
    <xf numFmtId="0" fontId="12" fillId="0" borderId="0" xfId="107" applyAlignment="1">
      <alignment horizontal="left"/>
    </xf>
    <xf numFmtId="0" fontId="9" fillId="0" borderId="0" xfId="145"/>
    <xf numFmtId="0" fontId="62" fillId="0" borderId="17" xfId="109" applyFont="1" applyBorder="1" applyAlignment="1">
      <alignment horizontal="left" vertical="center"/>
    </xf>
    <xf numFmtId="0" fontId="0" fillId="0" borderId="25" xfId="0" applyBorder="1"/>
    <xf numFmtId="0" fontId="62" fillId="0" borderId="56" xfId="108" applyFont="1" applyBorder="1" applyAlignment="1">
      <alignment vertical="center"/>
    </xf>
    <xf numFmtId="0" fontId="66" fillId="0" borderId="0" xfId="145" applyFont="1"/>
    <xf numFmtId="0" fontId="61" fillId="0" borderId="45" xfId="109" applyFont="1" applyBorder="1" applyAlignment="1">
      <alignment vertical="center"/>
    </xf>
    <xf numFmtId="0" fontId="61" fillId="0" borderId="0" xfId="109" applyFont="1" applyAlignment="1">
      <alignment horizontal="left" vertical="center" wrapText="1"/>
    </xf>
    <xf numFmtId="0" fontId="62" fillId="0" borderId="41" xfId="108" applyFont="1" applyBorder="1" applyAlignment="1">
      <alignment vertical="center"/>
    </xf>
    <xf numFmtId="1" fontId="16" fillId="29" borderId="10" xfId="0" applyNumberFormat="1" applyFont="1" applyFill="1" applyBorder="1" applyAlignment="1" applyProtection="1">
      <alignment horizontal="center" vertical="center" wrapText="1"/>
      <protection locked="0"/>
    </xf>
    <xf numFmtId="14" fontId="16" fillId="29" borderId="10" xfId="0" applyNumberFormat="1" applyFont="1" applyFill="1" applyBorder="1" applyAlignment="1" applyProtection="1">
      <alignment horizontal="center" vertical="center" wrapText="1"/>
      <protection locked="0"/>
    </xf>
    <xf numFmtId="0" fontId="12" fillId="0" borderId="46" xfId="107" applyBorder="1" applyAlignment="1">
      <alignment vertical="center" wrapText="1"/>
    </xf>
    <xf numFmtId="0" fontId="12" fillId="0" borderId="46" xfId="107" applyBorder="1" applyAlignment="1">
      <alignment horizontal="left" vertical="center" wrapText="1"/>
    </xf>
    <xf numFmtId="1" fontId="55" fillId="34" borderId="10" xfId="0" applyNumberFormat="1" applyFont="1" applyFill="1" applyBorder="1" applyAlignment="1">
      <alignment horizontal="center" vertical="center" wrapText="1"/>
    </xf>
    <xf numFmtId="0" fontId="13" fillId="0" borderId="10" xfId="0" applyFont="1" applyBorder="1"/>
    <xf numFmtId="0" fontId="55" fillId="0" borderId="10" xfId="0" applyFont="1" applyBorder="1"/>
    <xf numFmtId="0" fontId="13" fillId="0" borderId="10" xfId="0" applyFont="1" applyBorder="1" applyAlignment="1">
      <alignment wrapText="1"/>
    </xf>
    <xf numFmtId="0" fontId="12" fillId="0" borderId="0" xfId="0" applyFont="1"/>
    <xf numFmtId="0" fontId="12" fillId="0" borderId="0" xfId="107"/>
    <xf numFmtId="0" fontId="12" fillId="0" borderId="0" xfId="107" applyAlignment="1">
      <alignment vertical="center" wrapText="1"/>
    </xf>
    <xf numFmtId="0" fontId="13" fillId="0" borderId="0" xfId="107" applyFont="1" applyAlignment="1">
      <alignment horizontal="left" vertical="center" wrapText="1"/>
    </xf>
    <xf numFmtId="0" fontId="16" fillId="0" borderId="0" xfId="107" applyFont="1" applyAlignment="1">
      <alignment horizontal="left" vertical="center"/>
    </xf>
    <xf numFmtId="0" fontId="12" fillId="0" borderId="17" xfId="107" applyBorder="1" applyAlignment="1">
      <alignment vertical="center" wrapText="1"/>
    </xf>
    <xf numFmtId="0" fontId="16" fillId="0" borderId="0" xfId="107" applyFont="1" applyAlignment="1">
      <alignment horizontal="left"/>
    </xf>
    <xf numFmtId="0" fontId="15" fillId="27" borderId="15" xfId="107" applyFont="1" applyFill="1" applyBorder="1" applyAlignment="1">
      <alignment vertical="center" wrapText="1"/>
    </xf>
    <xf numFmtId="0" fontId="15" fillId="27" borderId="16" xfId="107" applyFont="1" applyFill="1" applyBorder="1" applyAlignment="1">
      <alignment vertical="center" wrapText="1"/>
    </xf>
    <xf numFmtId="0" fontId="12" fillId="0" borderId="11" xfId="107" applyBorder="1" applyAlignment="1">
      <alignment horizontal="center" vertical="center" wrapText="1"/>
    </xf>
    <xf numFmtId="0" fontId="16" fillId="26" borderId="23" xfId="107" applyFont="1" applyFill="1" applyBorder="1" applyAlignment="1">
      <alignment vertical="center" wrapText="1"/>
    </xf>
    <xf numFmtId="0" fontId="16" fillId="26" borderId="26" xfId="107" applyFont="1" applyFill="1" applyBorder="1" applyAlignment="1">
      <alignment horizontal="center" vertical="center"/>
    </xf>
    <xf numFmtId="0" fontId="12" fillId="0" borderId="0" xfId="107" applyAlignment="1">
      <alignment horizontal="left" vertical="center" wrapText="1"/>
    </xf>
    <xf numFmtId="0" fontId="16" fillId="0" borderId="0" xfId="107" applyFont="1" applyAlignment="1">
      <alignment horizontal="center"/>
    </xf>
    <xf numFmtId="0" fontId="26" fillId="0" borderId="17" xfId="107" applyFont="1" applyBorder="1" applyAlignment="1">
      <alignment horizontal="center" vertical="center" wrapText="1"/>
    </xf>
    <xf numFmtId="0" fontId="23" fillId="0" borderId="10" xfId="107" applyFont="1" applyBorder="1" applyAlignment="1">
      <alignment horizontal="center" vertical="center" wrapText="1"/>
    </xf>
    <xf numFmtId="0" fontId="23" fillId="0" borderId="11" xfId="107" applyFont="1" applyBorder="1" applyAlignment="1">
      <alignment horizontal="center" vertical="center" wrapText="1"/>
    </xf>
    <xf numFmtId="0" fontId="12" fillId="0" borderId="17" xfId="107" applyBorder="1" applyAlignment="1">
      <alignment vertical="center"/>
    </xf>
    <xf numFmtId="0" fontId="26" fillId="0" borderId="27" xfId="107" applyFont="1" applyBorder="1" applyAlignment="1">
      <alignment horizontal="center" vertical="center" wrapText="1"/>
    </xf>
    <xf numFmtId="0" fontId="23" fillId="0" borderId="30" xfId="107" applyFont="1" applyBorder="1" applyAlignment="1">
      <alignment horizontal="center" vertical="center" wrapText="1"/>
    </xf>
    <xf numFmtId="0" fontId="23" fillId="0" borderId="28" xfId="107" applyFont="1" applyBorder="1" applyAlignment="1">
      <alignment horizontal="center" vertical="center" wrapText="1"/>
    </xf>
    <xf numFmtId="0" fontId="28" fillId="26" borderId="23" xfId="107" applyFont="1" applyFill="1" applyBorder="1" applyAlignment="1">
      <alignment horizontal="center" vertical="center" wrapText="1"/>
    </xf>
    <xf numFmtId="0" fontId="13" fillId="26" borderId="37" xfId="107" applyFont="1" applyFill="1" applyBorder="1" applyAlignment="1">
      <alignment vertical="center"/>
    </xf>
    <xf numFmtId="0" fontId="13" fillId="26" borderId="29" xfId="107" applyFont="1" applyFill="1" applyBorder="1" applyAlignment="1">
      <alignment vertical="center"/>
    </xf>
    <xf numFmtId="0" fontId="16" fillId="0" borderId="0" xfId="107" applyFont="1" applyAlignment="1">
      <alignment horizontal="center" vertical="center"/>
    </xf>
    <xf numFmtId="0" fontId="16" fillId="0" borderId="0" xfId="107" applyFont="1" applyAlignment="1">
      <alignment vertical="center"/>
    </xf>
    <xf numFmtId="0" fontId="15" fillId="28" borderId="33" xfId="107" applyFont="1" applyFill="1" applyBorder="1" applyAlignment="1">
      <alignment horizontal="center" vertical="center" wrapText="1"/>
    </xf>
    <xf numFmtId="0" fontId="15" fillId="28" borderId="32" xfId="107" applyFont="1" applyFill="1" applyBorder="1" applyAlignment="1">
      <alignment vertical="center" wrapText="1"/>
    </xf>
    <xf numFmtId="0" fontId="16" fillId="0" borderId="0" xfId="107" applyFont="1" applyAlignment="1">
      <alignment vertical="center" wrapText="1"/>
    </xf>
    <xf numFmtId="0" fontId="12" fillId="0" borderId="0" xfId="107" applyAlignment="1">
      <alignment wrapText="1"/>
    </xf>
    <xf numFmtId="0" fontId="12" fillId="0" borderId="0" xfId="107" applyAlignment="1">
      <alignment horizontal="center" wrapText="1"/>
    </xf>
    <xf numFmtId="0" fontId="12" fillId="0" borderId="0" xfId="107" applyAlignment="1">
      <alignment horizontal="left" wrapText="1"/>
    </xf>
    <xf numFmtId="0" fontId="46" fillId="31" borderId="15" xfId="0" applyFont="1" applyFill="1" applyBorder="1" applyAlignment="1">
      <alignment horizontal="center" vertical="center"/>
    </xf>
    <xf numFmtId="165" fontId="46" fillId="31" borderId="71" xfId="0" applyNumberFormat="1" applyFont="1" applyFill="1" applyBorder="1" applyAlignment="1">
      <alignment horizontal="center" vertical="center"/>
    </xf>
    <xf numFmtId="0" fontId="46" fillId="31" borderId="71" xfId="0" applyFont="1" applyFill="1" applyBorder="1" applyAlignment="1">
      <alignment horizontal="center" vertical="center" wrapText="1"/>
    </xf>
    <xf numFmtId="0" fontId="0" fillId="0" borderId="65" xfId="0" applyBorder="1"/>
    <xf numFmtId="0" fontId="0" fillId="0" borderId="94" xfId="0" applyBorder="1"/>
    <xf numFmtId="0" fontId="12" fillId="0" borderId="43" xfId="107" applyBorder="1" applyAlignment="1" applyProtection="1">
      <alignment horizontal="left" vertical="center" wrapText="1"/>
      <protection locked="0"/>
    </xf>
    <xf numFmtId="0" fontId="12" fillId="0" borderId="47" xfId="0" applyFont="1" applyBorder="1" applyAlignment="1">
      <alignment horizontal="center" vertical="center" wrapText="1"/>
    </xf>
    <xf numFmtId="0" fontId="15" fillId="0" borderId="30" xfId="0" applyFont="1" applyBorder="1" applyAlignment="1">
      <alignment vertical="center" wrapText="1"/>
    </xf>
    <xf numFmtId="0" fontId="0" fillId="0" borderId="47" xfId="0" applyBorder="1" applyAlignment="1">
      <alignment vertical="center" wrapText="1"/>
    </xf>
    <xf numFmtId="0" fontId="12" fillId="0" borderId="31" xfId="107" applyBorder="1" applyAlignment="1" applyProtection="1">
      <alignment horizontal="left" vertical="center" wrapText="1"/>
      <protection locked="0"/>
    </xf>
    <xf numFmtId="0" fontId="50" fillId="0" borderId="22" xfId="0" applyFont="1" applyBorder="1" applyAlignment="1">
      <alignment horizontal="left" vertical="center"/>
    </xf>
    <xf numFmtId="0" fontId="50" fillId="0" borderId="11" xfId="0" applyFont="1" applyBorder="1" applyAlignment="1">
      <alignment horizontal="left" vertical="center"/>
    </xf>
    <xf numFmtId="0" fontId="12" fillId="0" borderId="17" xfId="107" applyBorder="1" applyAlignment="1" applyProtection="1">
      <alignment horizontal="left" vertical="center" wrapText="1"/>
      <protection locked="0"/>
    </xf>
    <xf numFmtId="0" fontId="55" fillId="0" borderId="102" xfId="0" applyFont="1" applyBorder="1" applyAlignment="1">
      <alignment horizontal="left" vertical="center"/>
    </xf>
    <xf numFmtId="0" fontId="0" fillId="0" borderId="14" xfId="0" applyBorder="1" applyAlignment="1">
      <alignment vertical="center"/>
    </xf>
    <xf numFmtId="0" fontId="50" fillId="0" borderId="15" xfId="0" applyFont="1" applyBorder="1" applyAlignment="1">
      <alignment horizontal="left" vertical="center"/>
    </xf>
    <xf numFmtId="0" fontId="50" fillId="0" borderId="17" xfId="0" applyFont="1" applyBorder="1" applyAlignment="1">
      <alignment horizontal="left" vertical="center"/>
    </xf>
    <xf numFmtId="0" fontId="50" fillId="0" borderId="23" xfId="0" applyFont="1" applyBorder="1" applyAlignment="1">
      <alignment horizontal="left" vertical="center"/>
    </xf>
    <xf numFmtId="165" fontId="22" fillId="0" borderId="75" xfId="0" applyNumberFormat="1" applyFont="1" applyBorder="1" applyAlignment="1">
      <alignment horizontal="center" vertical="center"/>
    </xf>
    <xf numFmtId="0" fontId="0" fillId="29" borderId="103" xfId="0" applyFill="1" applyBorder="1" applyAlignment="1">
      <alignment horizontal="center" vertical="center"/>
    </xf>
    <xf numFmtId="165" fontId="12" fillId="0" borderId="103" xfId="0" applyNumberFormat="1" applyFont="1" applyBorder="1" applyAlignment="1">
      <alignment horizontal="center" vertical="center"/>
    </xf>
    <xf numFmtId="0" fontId="0" fillId="0" borderId="53" xfId="0" applyBorder="1" applyAlignment="1">
      <alignment vertical="center" wrapText="1"/>
    </xf>
    <xf numFmtId="165" fontId="12" fillId="0" borderId="104" xfId="0" applyNumberFormat="1" applyFont="1" applyBorder="1" applyAlignment="1">
      <alignment horizontal="center" vertical="center"/>
    </xf>
    <xf numFmtId="0" fontId="0" fillId="34" borderId="104" xfId="0" applyFill="1" applyBorder="1" applyAlignment="1">
      <alignment horizontal="center" vertical="center"/>
    </xf>
    <xf numFmtId="0" fontId="69" fillId="0" borderId="33" xfId="0" applyFont="1" applyBorder="1" applyAlignment="1">
      <alignment vertical="center" wrapText="1"/>
    </xf>
    <xf numFmtId="0" fontId="69" fillId="0" borderId="105" xfId="0" applyFont="1" applyBorder="1" applyAlignment="1">
      <alignment vertical="center" wrapText="1"/>
    </xf>
    <xf numFmtId="0" fontId="0" fillId="0" borderId="40" xfId="0" applyBorder="1" applyAlignment="1">
      <alignment vertical="center" wrapText="1"/>
    </xf>
    <xf numFmtId="0" fontId="0" fillId="36" borderId="107" xfId="0" applyFill="1" applyBorder="1" applyAlignment="1">
      <alignment vertical="center" wrapText="1"/>
    </xf>
    <xf numFmtId="0" fontId="0" fillId="36" borderId="35" xfId="0" applyFill="1" applyBorder="1" applyAlignment="1">
      <alignment vertical="center" wrapText="1"/>
    </xf>
    <xf numFmtId="0" fontId="0" fillId="36" borderId="0" xfId="0" applyFill="1" applyAlignment="1">
      <alignment vertical="center" wrapText="1"/>
    </xf>
    <xf numFmtId="0" fontId="12" fillId="0" borderId="53" xfId="107" applyBorder="1"/>
    <xf numFmtId="0" fontId="12" fillId="0" borderId="53" xfId="107" applyBorder="1" applyAlignment="1">
      <alignment vertical="center"/>
    </xf>
    <xf numFmtId="0" fontId="16" fillId="26" borderId="26" xfId="107" applyFont="1" applyFill="1" applyBorder="1" applyAlignment="1">
      <alignment horizontal="center" vertical="center" wrapText="1"/>
    </xf>
    <xf numFmtId="0" fontId="15" fillId="0" borderId="17" xfId="107" applyFont="1" applyBorder="1" applyAlignment="1">
      <alignment vertical="center" wrapText="1"/>
    </xf>
    <xf numFmtId="0" fontId="12" fillId="0" borderId="10" xfId="107" applyBorder="1" applyAlignment="1">
      <alignment vertical="center" wrapText="1"/>
    </xf>
    <xf numFmtId="0" fontId="12" fillId="0" borderId="22" xfId="107" applyBorder="1" applyAlignment="1">
      <alignment horizontal="center" vertical="center" wrapText="1"/>
    </xf>
    <xf numFmtId="0" fontId="12" fillId="29" borderId="31" xfId="71" applyFont="1" applyFill="1" applyBorder="1" applyAlignment="1" applyProtection="1">
      <alignment horizontal="center" vertical="center"/>
      <protection locked="0"/>
    </xf>
    <xf numFmtId="0" fontId="16" fillId="0" borderId="0" xfId="107" applyFont="1" applyAlignment="1">
      <alignment horizontal="left" vertical="center" wrapText="1"/>
    </xf>
    <xf numFmtId="0" fontId="16" fillId="0" borderId="36" xfId="107" applyFont="1" applyBorder="1" applyAlignment="1">
      <alignment horizontal="left" vertical="center"/>
    </xf>
    <xf numFmtId="0" fontId="12" fillId="0" borderId="50" xfId="107" applyBorder="1" applyAlignment="1">
      <alignment horizontal="center" vertical="center" wrapText="1"/>
    </xf>
    <xf numFmtId="0" fontId="12" fillId="0" borderId="19" xfId="107" applyBorder="1" applyAlignment="1">
      <alignment horizontal="left" vertical="center" wrapText="1"/>
    </xf>
    <xf numFmtId="0" fontId="52" fillId="29" borderId="42" xfId="71" applyFont="1" applyFill="1" applyBorder="1" applyAlignment="1" applyProtection="1">
      <alignment horizontal="center" vertical="center"/>
    </xf>
    <xf numFmtId="0" fontId="15" fillId="27" borderId="32" xfId="71" applyFont="1" applyFill="1" applyBorder="1" applyAlignment="1" applyProtection="1">
      <alignment horizontal="center" vertical="center"/>
    </xf>
    <xf numFmtId="0" fontId="16" fillId="26" borderId="29" xfId="107" applyFont="1" applyFill="1" applyBorder="1" applyAlignment="1">
      <alignment vertical="center"/>
    </xf>
    <xf numFmtId="0" fontId="13" fillId="0" borderId="0" xfId="107" applyFont="1" applyAlignment="1">
      <alignment vertical="center" wrapText="1"/>
    </xf>
    <xf numFmtId="0" fontId="23" fillId="0" borderId="89" xfId="107" applyFont="1" applyBorder="1" applyAlignment="1">
      <alignment horizontal="left" vertical="center" wrapText="1"/>
    </xf>
    <xf numFmtId="0" fontId="12" fillId="0" borderId="49" xfId="107" applyBorder="1" applyAlignment="1">
      <alignment horizontal="left" vertical="center" wrapText="1"/>
    </xf>
    <xf numFmtId="0" fontId="12" fillId="0" borderId="75" xfId="107" applyBorder="1" applyAlignment="1">
      <alignment horizontal="center" vertical="center" wrapText="1"/>
    </xf>
    <xf numFmtId="0" fontId="12" fillId="0" borderId="89" xfId="107" applyBorder="1" applyAlignment="1">
      <alignment horizontal="left" vertical="center" wrapText="1"/>
    </xf>
    <xf numFmtId="0" fontId="23" fillId="0" borderId="89" xfId="107" applyFont="1" applyBorder="1" applyAlignment="1">
      <alignment vertical="center" wrapText="1"/>
    </xf>
    <xf numFmtId="0" fontId="26" fillId="0" borderId="27" xfId="107" applyFont="1" applyBorder="1" applyAlignment="1">
      <alignment vertical="center" wrapText="1"/>
    </xf>
    <xf numFmtId="0" fontId="12" fillId="0" borderId="53" xfId="107" applyBorder="1" applyAlignment="1">
      <alignment horizontal="center" vertical="center" wrapText="1"/>
    </xf>
    <xf numFmtId="0" fontId="12" fillId="29" borderId="45" xfId="71" applyFont="1" applyFill="1" applyBorder="1" applyAlignment="1" applyProtection="1">
      <alignment horizontal="center" vertical="center" wrapText="1"/>
      <protection locked="0"/>
    </xf>
    <xf numFmtId="0" fontId="12" fillId="29" borderId="18" xfId="71" applyFont="1" applyFill="1" applyBorder="1" applyAlignment="1" applyProtection="1">
      <alignment horizontal="center" vertical="center" wrapText="1"/>
      <protection locked="0"/>
    </xf>
    <xf numFmtId="0" fontId="12" fillId="29" borderId="20" xfId="71" applyFont="1" applyFill="1" applyBorder="1" applyAlignment="1" applyProtection="1">
      <alignment horizontal="center" vertical="center" wrapText="1"/>
      <protection locked="0"/>
    </xf>
    <xf numFmtId="0" fontId="12" fillId="0" borderId="36" xfId="107" applyBorder="1" applyAlignment="1">
      <alignment wrapText="1"/>
    </xf>
    <xf numFmtId="0" fontId="69" fillId="0" borderId="102" xfId="0" applyFont="1" applyBorder="1" applyAlignment="1" applyProtection="1">
      <alignment vertical="center"/>
      <protection locked="0"/>
    </xf>
    <xf numFmtId="0" fontId="50" fillId="0" borderId="24" xfId="0" applyFont="1" applyBorder="1" applyAlignment="1">
      <alignment horizontal="left" vertical="center"/>
    </xf>
    <xf numFmtId="0" fontId="50" fillId="0" borderId="72" xfId="0" applyFont="1" applyBorder="1" applyAlignment="1">
      <alignment horizontal="left" vertical="center"/>
    </xf>
    <xf numFmtId="0" fontId="12" fillId="29" borderId="31" xfId="71" applyFont="1" applyFill="1" applyBorder="1" applyAlignment="1" applyProtection="1">
      <alignment horizontal="center" vertical="center" wrapText="1"/>
      <protection locked="0"/>
    </xf>
    <xf numFmtId="0" fontId="61" fillId="0" borderId="22" xfId="109" applyFont="1" applyBorder="1" applyAlignment="1">
      <alignment vertical="center"/>
    </xf>
    <xf numFmtId="0" fontId="61" fillId="0" borderId="48" xfId="109" applyFont="1" applyBorder="1"/>
    <xf numFmtId="0" fontId="61" fillId="0" borderId="21" xfId="109" applyFont="1" applyBorder="1" applyAlignment="1">
      <alignment horizontal="right" vertical="center"/>
    </xf>
    <xf numFmtId="0" fontId="50" fillId="0" borderId="93" xfId="59" applyFont="1" applyFill="1" applyBorder="1" applyAlignment="1" applyProtection="1">
      <alignment vertical="center"/>
    </xf>
    <xf numFmtId="0" fontId="50" fillId="0" borderId="108" xfId="59" applyFont="1" applyFill="1" applyBorder="1" applyAlignment="1" applyProtection="1">
      <alignment vertical="center"/>
    </xf>
    <xf numFmtId="0" fontId="50" fillId="24" borderId="78" xfId="59" applyFont="1" applyBorder="1" applyAlignment="1" applyProtection="1">
      <alignment vertical="center"/>
    </xf>
    <xf numFmtId="0" fontId="50" fillId="26" borderId="46" xfId="59" applyFont="1" applyFill="1" applyBorder="1" applyAlignment="1" applyProtection="1">
      <alignment horizontal="center" vertical="center"/>
    </xf>
    <xf numFmtId="0" fontId="50" fillId="24" borderId="17" xfId="59" applyFont="1" applyBorder="1" applyAlignment="1" applyProtection="1">
      <alignment vertical="center"/>
    </xf>
    <xf numFmtId="0" fontId="50" fillId="0" borderId="22" xfId="59" applyFont="1" applyFill="1" applyBorder="1" applyAlignment="1" applyProtection="1">
      <alignment vertical="center"/>
    </xf>
    <xf numFmtId="0" fontId="61" fillId="0" borderId="36" xfId="109" applyFont="1" applyBorder="1"/>
    <xf numFmtId="0" fontId="61" fillId="0" borderId="78" xfId="109" applyFont="1" applyBorder="1" applyAlignment="1">
      <alignment vertical="center"/>
    </xf>
    <xf numFmtId="0" fontId="67" fillId="26" borderId="52" xfId="109" applyFont="1" applyFill="1" applyBorder="1" applyAlignment="1">
      <alignment horizontal="center" vertical="center"/>
    </xf>
    <xf numFmtId="0" fontId="67" fillId="26" borderId="94" xfId="109" applyFont="1" applyFill="1" applyBorder="1" applyAlignment="1">
      <alignment horizontal="center" vertical="center"/>
    </xf>
    <xf numFmtId="0" fontId="61" fillId="0" borderId="48" xfId="109" applyFont="1" applyBorder="1" applyAlignment="1">
      <alignment vertical="center"/>
    </xf>
    <xf numFmtId="0" fontId="16" fillId="26" borderId="95" xfId="109" applyFont="1" applyFill="1" applyBorder="1" applyAlignment="1">
      <alignment vertical="center" wrapText="1"/>
    </xf>
    <xf numFmtId="168" fontId="50" fillId="26" borderId="109" xfId="59" applyNumberFormat="1" applyFont="1" applyFill="1" applyBorder="1" applyAlignment="1" applyProtection="1">
      <alignment horizontal="right" vertical="center"/>
    </xf>
    <xf numFmtId="168" fontId="50" fillId="26" borderId="10" xfId="59" applyNumberFormat="1" applyFont="1" applyFill="1" applyBorder="1" applyAlignment="1" applyProtection="1">
      <alignment horizontal="right" vertical="center"/>
    </xf>
    <xf numFmtId="168" fontId="64" fillId="29" borderId="10" xfId="69" applyNumberFormat="1" applyFont="1" applyFill="1" applyBorder="1" applyAlignment="1" applyProtection="1">
      <alignment horizontal="right" vertical="center"/>
      <protection locked="0"/>
    </xf>
    <xf numFmtId="0" fontId="15" fillId="28" borderId="64" xfId="107" applyFont="1" applyFill="1" applyBorder="1" applyAlignment="1">
      <alignment horizontal="center" vertical="center"/>
    </xf>
    <xf numFmtId="0" fontId="12" fillId="0" borderId="0" xfId="107" applyAlignment="1">
      <alignment horizontal="center"/>
    </xf>
    <xf numFmtId="0" fontId="61" fillId="0" borderId="10" xfId="145" applyFont="1" applyBorder="1" applyProtection="1">
      <protection locked="0"/>
    </xf>
    <xf numFmtId="0" fontId="62" fillId="0" borderId="10" xfId="145" applyFont="1" applyBorder="1" applyAlignment="1" applyProtection="1">
      <alignment wrapText="1"/>
      <protection locked="0"/>
    </xf>
    <xf numFmtId="0" fontId="62" fillId="0" borderId="10" xfId="145" applyFont="1" applyBorder="1" applyProtection="1">
      <protection locked="0"/>
    </xf>
    <xf numFmtId="9" fontId="68" fillId="26" borderId="37" xfId="145" applyNumberFormat="1" applyFont="1" applyFill="1" applyBorder="1" applyAlignment="1">
      <alignment horizontal="center" vertical="center"/>
    </xf>
    <xf numFmtId="0" fontId="68" fillId="26" borderId="24" xfId="145" applyFont="1" applyFill="1" applyBorder="1" applyAlignment="1">
      <alignment horizontal="center" vertical="center"/>
    </xf>
    <xf numFmtId="0" fontId="72" fillId="0" borderId="77" xfId="145" applyFont="1" applyBorder="1"/>
    <xf numFmtId="0" fontId="68" fillId="0" borderId="17" xfId="145" applyFont="1" applyBorder="1" applyAlignment="1">
      <alignment vertical="center"/>
    </xf>
    <xf numFmtId="0" fontId="12" fillId="0" borderId="17" xfId="107" applyBorder="1" applyAlignment="1">
      <alignment horizontal="left" vertical="center"/>
    </xf>
    <xf numFmtId="0" fontId="15" fillId="28" borderId="33" xfId="107" applyFont="1" applyFill="1" applyBorder="1" applyAlignment="1">
      <alignment vertical="center" wrapText="1"/>
    </xf>
    <xf numFmtId="0" fontId="15" fillId="28" borderId="58" xfId="71" applyFont="1" applyFill="1" applyBorder="1" applyAlignment="1" applyProtection="1">
      <alignment horizontal="center" vertical="center" wrapText="1"/>
    </xf>
    <xf numFmtId="0" fontId="15" fillId="29" borderId="31" xfId="71" applyFont="1" applyFill="1" applyBorder="1" applyAlignment="1" applyProtection="1">
      <alignment horizontal="center" vertical="center" wrapText="1"/>
      <protection locked="0"/>
    </xf>
    <xf numFmtId="168" fontId="16" fillId="26" borderId="37" xfId="0" applyNumberFormat="1" applyFont="1" applyFill="1" applyBorder="1" applyAlignment="1">
      <alignment horizontal="center" vertical="center" wrapText="1"/>
    </xf>
    <xf numFmtId="168" fontId="16" fillId="29" borderId="11" xfId="0" applyNumberFormat="1" applyFont="1" applyFill="1" applyBorder="1" applyAlignment="1" applyProtection="1">
      <alignment horizontal="center" vertical="center" wrapText="1"/>
      <protection locked="0"/>
    </xf>
    <xf numFmtId="168" fontId="16" fillId="29" borderId="10" xfId="0" applyNumberFormat="1" applyFont="1" applyFill="1" applyBorder="1" applyAlignment="1" applyProtection="1">
      <alignment horizontal="center" vertical="center" wrapText="1"/>
      <protection locked="0"/>
    </xf>
    <xf numFmtId="168" fontId="16" fillId="29" borderId="30" xfId="0" applyNumberFormat="1" applyFont="1" applyFill="1" applyBorder="1" applyAlignment="1" applyProtection="1">
      <alignment horizontal="center" vertical="center" wrapText="1"/>
      <protection locked="0"/>
    </xf>
    <xf numFmtId="168" fontId="16" fillId="29" borderId="71" xfId="0" applyNumberFormat="1" applyFont="1" applyFill="1" applyBorder="1" applyAlignment="1" applyProtection="1">
      <alignment horizontal="center" vertical="center" wrapText="1"/>
      <protection locked="0"/>
    </xf>
    <xf numFmtId="166" fontId="46" fillId="31" borderId="71" xfId="0" applyNumberFormat="1" applyFont="1" applyFill="1" applyBorder="1" applyAlignment="1">
      <alignment horizontal="center" vertical="center" wrapText="1"/>
    </xf>
    <xf numFmtId="166" fontId="81" fillId="31" borderId="15" xfId="0" applyNumberFormat="1" applyFont="1" applyFill="1" applyBorder="1" applyAlignment="1">
      <alignment horizontal="center" vertical="center" wrapText="1"/>
    </xf>
    <xf numFmtId="166" fontId="81" fillId="31" borderId="65" xfId="0" applyNumberFormat="1" applyFont="1" applyFill="1" applyBorder="1" applyAlignment="1">
      <alignment horizontal="center" vertical="center" wrapText="1"/>
    </xf>
    <xf numFmtId="1" fontId="16" fillId="26" borderId="97" xfId="0" applyNumberFormat="1" applyFont="1" applyFill="1" applyBorder="1" applyAlignment="1">
      <alignment horizontal="center" vertical="center" wrapText="1"/>
    </xf>
    <xf numFmtId="165" fontId="46" fillId="32" borderId="16" xfId="0" applyNumberFormat="1" applyFont="1" applyFill="1" applyBorder="1" applyAlignment="1">
      <alignment horizontal="center" vertical="center"/>
    </xf>
    <xf numFmtId="0" fontId="46" fillId="32" borderId="65" xfId="0" applyFont="1" applyFill="1" applyBorder="1" applyAlignment="1">
      <alignment horizontal="left" vertical="center" wrapText="1"/>
    </xf>
    <xf numFmtId="166" fontId="46" fillId="32" borderId="65" xfId="0" applyNumberFormat="1" applyFont="1" applyFill="1" applyBorder="1" applyAlignment="1">
      <alignment horizontal="center" vertical="center" wrapText="1"/>
    </xf>
    <xf numFmtId="1" fontId="46" fillId="32" borderId="72" xfId="0" applyNumberFormat="1" applyFont="1" applyFill="1" applyBorder="1" applyAlignment="1">
      <alignment horizontal="center" vertical="center" wrapText="1"/>
    </xf>
    <xf numFmtId="166" fontId="46" fillId="32" borderId="15" xfId="0" applyNumberFormat="1" applyFont="1" applyFill="1" applyBorder="1" applyAlignment="1">
      <alignment horizontal="center" vertical="center" wrapText="1"/>
    </xf>
    <xf numFmtId="166" fontId="46" fillId="32" borderId="64" xfId="0" applyNumberFormat="1" applyFont="1" applyFill="1" applyBorder="1" applyAlignment="1">
      <alignment horizontal="center" vertical="center" wrapText="1"/>
    </xf>
    <xf numFmtId="1" fontId="46" fillId="32" borderId="59" xfId="0" applyNumberFormat="1" applyFont="1" applyFill="1" applyBorder="1" applyAlignment="1">
      <alignment horizontal="center" vertical="center" wrapText="1"/>
    </xf>
    <xf numFmtId="166" fontId="46" fillId="33" borderId="71" xfId="0" applyNumberFormat="1" applyFont="1" applyFill="1" applyBorder="1" applyAlignment="1">
      <alignment horizontal="center" vertical="center" wrapText="1"/>
    </xf>
    <xf numFmtId="1" fontId="46" fillId="33" borderId="72" xfId="0" applyNumberFormat="1" applyFont="1" applyFill="1" applyBorder="1" applyAlignment="1">
      <alignment horizontal="center" vertical="center" wrapText="1"/>
    </xf>
    <xf numFmtId="166" fontId="16" fillId="30" borderId="10" xfId="0" applyNumberFormat="1" applyFont="1" applyFill="1" applyBorder="1" applyAlignment="1">
      <alignment horizontal="center" vertical="center" wrapText="1"/>
    </xf>
    <xf numFmtId="1" fontId="16" fillId="30" borderId="22" xfId="0" applyNumberFormat="1" applyFont="1" applyFill="1" applyBorder="1" applyAlignment="1">
      <alignment horizontal="center" vertical="center" wrapText="1"/>
    </xf>
    <xf numFmtId="166" fontId="46" fillId="33" borderId="15" xfId="0" applyNumberFormat="1" applyFont="1" applyFill="1" applyBorder="1" applyAlignment="1">
      <alignment horizontal="center" vertical="center" wrapText="1"/>
    </xf>
    <xf numFmtId="166" fontId="16" fillId="30" borderId="17" xfId="0" applyNumberFormat="1" applyFont="1" applyFill="1" applyBorder="1" applyAlignment="1">
      <alignment horizontal="center" vertical="center" wrapText="1"/>
    </xf>
    <xf numFmtId="1" fontId="46" fillId="33" borderId="59" xfId="0" applyNumberFormat="1" applyFont="1" applyFill="1" applyBorder="1" applyAlignment="1">
      <alignment horizontal="center" vertical="center" wrapText="1"/>
    </xf>
    <xf numFmtId="166" fontId="16" fillId="30" borderId="46" xfId="0" applyNumberFormat="1" applyFont="1" applyFill="1" applyBorder="1" applyAlignment="1">
      <alignment horizontal="center" vertical="center" wrapText="1"/>
    </xf>
    <xf numFmtId="0" fontId="46" fillId="23" borderId="65" xfId="0" applyFont="1" applyFill="1" applyBorder="1" applyAlignment="1">
      <alignment horizontal="left" vertical="center" wrapText="1"/>
    </xf>
    <xf numFmtId="166" fontId="46" fillId="23" borderId="16" xfId="0" applyNumberFormat="1" applyFont="1" applyFill="1" applyBorder="1" applyAlignment="1">
      <alignment horizontal="center" vertical="center" wrapText="1"/>
    </xf>
    <xf numFmtId="1" fontId="46" fillId="37" borderId="72" xfId="0" applyNumberFormat="1" applyFont="1" applyFill="1" applyBorder="1" applyAlignment="1">
      <alignment horizontal="center" vertical="center" wrapText="1"/>
    </xf>
    <xf numFmtId="166" fontId="46" fillId="23" borderId="15" xfId="0" applyNumberFormat="1" applyFont="1" applyFill="1" applyBorder="1" applyAlignment="1">
      <alignment horizontal="center" vertical="center" wrapText="1"/>
    </xf>
    <xf numFmtId="1" fontId="46" fillId="23" borderId="72" xfId="0" applyNumberFormat="1" applyFont="1" applyFill="1" applyBorder="1" applyAlignment="1">
      <alignment horizontal="center" vertical="center" wrapText="1"/>
    </xf>
    <xf numFmtId="166" fontId="46" fillId="23" borderId="65" xfId="0" applyNumberFormat="1" applyFont="1" applyFill="1" applyBorder="1" applyAlignment="1">
      <alignment horizontal="center" vertical="center" wrapText="1"/>
    </xf>
    <xf numFmtId="1" fontId="46" fillId="23" borderId="59" xfId="0" applyNumberFormat="1" applyFont="1" applyFill="1" applyBorder="1" applyAlignment="1">
      <alignment horizontal="center" vertical="center" wrapText="1"/>
    </xf>
    <xf numFmtId="166" fontId="16" fillId="27" borderId="10" xfId="0" applyNumberFormat="1" applyFont="1" applyFill="1" applyBorder="1" applyAlignment="1">
      <alignment horizontal="center" vertical="center" wrapText="1"/>
    </xf>
    <xf numFmtId="1" fontId="16" fillId="0" borderId="0" xfId="0" applyNumberFormat="1" applyFont="1" applyAlignment="1">
      <alignment horizontal="center" vertical="center" wrapText="1"/>
    </xf>
    <xf numFmtId="1" fontId="16" fillId="0" borderId="14" xfId="0" applyNumberFormat="1" applyFont="1" applyBorder="1" applyAlignment="1">
      <alignment horizontal="center" vertical="center" wrapText="1"/>
    </xf>
    <xf numFmtId="166" fontId="16" fillId="27" borderId="17" xfId="0" applyNumberFormat="1" applyFont="1" applyFill="1" applyBorder="1" applyAlignment="1">
      <alignment horizontal="center" vertical="center" wrapText="1"/>
    </xf>
    <xf numFmtId="166" fontId="16" fillId="27" borderId="46" xfId="0" applyNumberFormat="1" applyFont="1" applyFill="1" applyBorder="1" applyAlignment="1">
      <alignment horizontal="center" vertical="center" wrapText="1"/>
    </xf>
    <xf numFmtId="1" fontId="16" fillId="26" borderId="78" xfId="0" applyNumberFormat="1" applyFont="1" applyFill="1" applyBorder="1" applyAlignment="1">
      <alignment horizontal="center" vertical="center" wrapText="1"/>
    </xf>
    <xf numFmtId="0" fontId="12" fillId="0" borderId="0" xfId="0" applyFont="1" applyAlignment="1">
      <alignment horizontal="center" vertical="center"/>
    </xf>
    <xf numFmtId="165" fontId="12" fillId="0" borderId="0" xfId="0" applyNumberFormat="1" applyFont="1" applyAlignment="1">
      <alignment horizontal="center" vertical="center"/>
    </xf>
    <xf numFmtId="0" fontId="12" fillId="0" borderId="0" xfId="0" applyFont="1" applyAlignment="1">
      <alignment horizontal="left" vertical="center"/>
    </xf>
    <xf numFmtId="165" fontId="12" fillId="0" borderId="0" xfId="0" applyNumberFormat="1"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2" fillId="0" borderId="19" xfId="107" applyBorder="1"/>
    <xf numFmtId="0" fontId="50" fillId="27" borderId="58" xfId="71" applyFont="1" applyFill="1" applyBorder="1" applyAlignment="1" applyProtection="1">
      <alignment horizontal="center" vertical="center"/>
    </xf>
    <xf numFmtId="0" fontId="68" fillId="27" borderId="79" xfId="145" applyFont="1" applyFill="1" applyBorder="1" applyAlignment="1">
      <alignment horizontal="center"/>
    </xf>
    <xf numFmtId="0" fontId="61" fillId="27" borderId="71" xfId="145" applyFont="1" applyFill="1" applyBorder="1" applyAlignment="1">
      <alignment horizontal="center" wrapText="1"/>
    </xf>
    <xf numFmtId="0" fontId="61" fillId="27" borderId="72" xfId="145" applyFont="1" applyFill="1" applyBorder="1" applyAlignment="1">
      <alignment horizontal="center"/>
    </xf>
    <xf numFmtId="9" fontId="68" fillId="29" borderId="10" xfId="145" applyNumberFormat="1" applyFont="1" applyFill="1" applyBorder="1" applyAlignment="1" applyProtection="1">
      <alignment horizontal="center"/>
      <protection locked="0"/>
    </xf>
    <xf numFmtId="0" fontId="68" fillId="0" borderId="43" xfId="145" applyFont="1" applyBorder="1" applyAlignment="1">
      <alignment horizontal="center"/>
    </xf>
    <xf numFmtId="0" fontId="61" fillId="0" borderId="43" xfId="145" applyFont="1" applyBorder="1" applyAlignment="1">
      <alignment horizontal="center"/>
    </xf>
    <xf numFmtId="0" fontId="61" fillId="0" borderId="45" xfId="145" applyFont="1" applyBorder="1" applyAlignment="1">
      <alignment horizontal="center"/>
    </xf>
    <xf numFmtId="0" fontId="68" fillId="0" borderId="48" xfId="145" applyFont="1" applyBorder="1"/>
    <xf numFmtId="0" fontId="68" fillId="0" borderId="30" xfId="145" applyFont="1" applyBorder="1" applyAlignment="1">
      <alignment horizontal="center"/>
    </xf>
    <xf numFmtId="0" fontId="61" fillId="0" borderId="22" xfId="145" applyFont="1" applyBorder="1" applyAlignment="1">
      <alignment horizontal="center"/>
    </xf>
    <xf numFmtId="0" fontId="68" fillId="0" borderId="25" xfId="145" applyFont="1" applyBorder="1"/>
    <xf numFmtId="0" fontId="68" fillId="0" borderId="40" xfId="145" applyFont="1" applyBorder="1" applyAlignment="1">
      <alignment horizontal="center"/>
    </xf>
    <xf numFmtId="0" fontId="68" fillId="0" borderId="76" xfId="145" applyFont="1" applyBorder="1"/>
    <xf numFmtId="0" fontId="68" fillId="0" borderId="41" xfId="145" applyFont="1" applyBorder="1" applyAlignment="1">
      <alignment horizontal="center"/>
    </xf>
    <xf numFmtId="9" fontId="68" fillId="29" borderId="11" xfId="145" applyNumberFormat="1" applyFont="1" applyFill="1" applyBorder="1" applyAlignment="1" applyProtection="1">
      <alignment horizontal="center"/>
      <protection locked="0"/>
    </xf>
    <xf numFmtId="0" fontId="68" fillId="0" borderId="11" xfId="145" applyFont="1" applyBorder="1" applyAlignment="1">
      <alignment horizontal="center"/>
    </xf>
    <xf numFmtId="0" fontId="68" fillId="0" borderId="27" xfId="145" applyFont="1" applyBorder="1"/>
    <xf numFmtId="0" fontId="68" fillId="0" borderId="89" xfId="145" applyFont="1" applyBorder="1"/>
    <xf numFmtId="0" fontId="68" fillId="0" borderId="49" xfId="145" applyFont="1" applyBorder="1"/>
    <xf numFmtId="9" fontId="68" fillId="29" borderId="28" xfId="145" applyNumberFormat="1" applyFont="1" applyFill="1" applyBorder="1" applyAlignment="1" applyProtection="1">
      <alignment horizontal="center"/>
      <protection locked="0"/>
    </xf>
    <xf numFmtId="9" fontId="82" fillId="0" borderId="11" xfId="145" applyNumberFormat="1" applyFont="1" applyBorder="1" applyAlignment="1">
      <alignment horizontal="center"/>
    </xf>
    <xf numFmtId="9" fontId="68" fillId="29" borderId="46" xfId="145" applyNumberFormat="1" applyFont="1" applyFill="1" applyBorder="1" applyAlignment="1" applyProtection="1">
      <alignment horizontal="center"/>
      <protection locked="0"/>
    </xf>
    <xf numFmtId="0" fontId="12" fillId="0" borderId="55" xfId="107" applyBorder="1"/>
    <xf numFmtId="0" fontId="12" fillId="0" borderId="48" xfId="107" applyBorder="1" applyAlignment="1" applyProtection="1">
      <alignment vertical="center" wrapText="1"/>
      <protection locked="0"/>
    </xf>
    <xf numFmtId="0" fontId="50" fillId="27" borderId="32" xfId="71" applyFont="1" applyFill="1" applyBorder="1" applyAlignment="1" applyProtection="1">
      <alignment horizontal="center" vertical="center" wrapText="1"/>
    </xf>
    <xf numFmtId="0" fontId="12" fillId="0" borderId="28" xfId="0" applyFont="1" applyBorder="1" applyAlignment="1">
      <alignment vertical="center" wrapText="1"/>
    </xf>
    <xf numFmtId="0" fontId="12" fillId="29" borderId="42" xfId="0" applyFont="1" applyFill="1" applyBorder="1" applyAlignment="1">
      <alignment vertical="center" wrapText="1"/>
    </xf>
    <xf numFmtId="0" fontId="12" fillId="0" borderId="21" xfId="0" applyFont="1" applyBorder="1" applyAlignment="1">
      <alignment vertical="center" wrapText="1"/>
    </xf>
    <xf numFmtId="0" fontId="15" fillId="28" borderId="58" xfId="107" applyFont="1" applyFill="1" applyBorder="1" applyAlignment="1">
      <alignment horizontal="center" vertical="center"/>
    </xf>
    <xf numFmtId="0" fontId="12" fillId="0" borderId="93" xfId="107" applyBorder="1" applyAlignment="1">
      <alignment vertical="center"/>
    </xf>
    <xf numFmtId="0" fontId="12" fillId="0" borderId="31" xfId="107" applyBorder="1" applyAlignment="1">
      <alignment vertical="center"/>
    </xf>
    <xf numFmtId="0" fontId="15" fillId="28" borderId="59" xfId="107" applyFont="1" applyFill="1" applyBorder="1" applyAlignment="1">
      <alignment horizontal="center" vertical="center"/>
    </xf>
    <xf numFmtId="1" fontId="16" fillId="26" borderId="26" xfId="107" applyNumberFormat="1" applyFont="1" applyFill="1" applyBorder="1" applyAlignment="1">
      <alignment horizontal="center" vertical="center"/>
    </xf>
    <xf numFmtId="0" fontId="15" fillId="28" borderId="32" xfId="107" applyFont="1" applyFill="1" applyBorder="1" applyAlignment="1">
      <alignment horizontal="center" vertical="center"/>
    </xf>
    <xf numFmtId="0" fontId="15" fillId="28" borderId="64" xfId="107" applyFont="1" applyFill="1" applyBorder="1" applyAlignment="1">
      <alignment horizontal="left" vertical="center"/>
    </xf>
    <xf numFmtId="0" fontId="12" fillId="0" borderId="25" xfId="107" applyBorder="1" applyAlignment="1">
      <alignment horizontal="left" vertical="center"/>
    </xf>
    <xf numFmtId="0" fontId="16" fillId="26" borderId="95" xfId="107" applyFont="1" applyFill="1" applyBorder="1" applyAlignment="1">
      <alignment horizontal="left" vertical="center"/>
    </xf>
    <xf numFmtId="0" fontId="15" fillId="28" borderId="90" xfId="107" applyFont="1" applyFill="1" applyBorder="1" applyAlignment="1">
      <alignment horizontal="left" vertical="center"/>
    </xf>
    <xf numFmtId="0" fontId="12" fillId="0" borderId="31" xfId="107" applyBorder="1" applyAlignment="1">
      <alignment horizontal="left" vertical="center"/>
    </xf>
    <xf numFmtId="0" fontId="16" fillId="26" borderId="99" xfId="107" applyFont="1" applyFill="1" applyBorder="1" applyAlignment="1">
      <alignment horizontal="left" vertical="center" wrapText="1"/>
    </xf>
    <xf numFmtId="0" fontId="16" fillId="26" borderId="26" xfId="107" applyFont="1" applyFill="1" applyBorder="1" applyAlignment="1">
      <alignment horizontal="left" vertical="center" wrapText="1"/>
    </xf>
    <xf numFmtId="0" fontId="12" fillId="0" borderId="17" xfId="107" applyBorder="1" applyAlignment="1">
      <alignment horizontal="left" vertical="center" wrapText="1"/>
    </xf>
    <xf numFmtId="0" fontId="83" fillId="29" borderId="31" xfId="71" applyFont="1" applyFill="1" applyBorder="1" applyAlignment="1" applyProtection="1">
      <alignment horizontal="center" vertical="center"/>
      <protection locked="0"/>
    </xf>
    <xf numFmtId="0" fontId="12" fillId="0" borderId="36" xfId="107" applyBorder="1" applyAlignment="1">
      <alignment horizontal="left"/>
    </xf>
    <xf numFmtId="0" fontId="12" fillId="0" borderId="36" xfId="107" applyBorder="1" applyAlignment="1">
      <alignment horizontal="center"/>
    </xf>
    <xf numFmtId="0" fontId="12" fillId="0" borderId="49" xfId="107" applyBorder="1" applyAlignment="1" applyProtection="1">
      <alignment horizontal="left" vertical="center" wrapText="1"/>
      <protection locked="0"/>
    </xf>
    <xf numFmtId="0" fontId="12" fillId="0" borderId="48" xfId="107" applyBorder="1"/>
    <xf numFmtId="0" fontId="12" fillId="0" borderId="36" xfId="0" applyFont="1" applyBorder="1" applyAlignment="1">
      <alignment horizontal="left"/>
    </xf>
    <xf numFmtId="0" fontId="12" fillId="0" borderId="0" xfId="0" applyFont="1" applyAlignment="1">
      <alignment horizontal="left"/>
    </xf>
    <xf numFmtId="0" fontId="12" fillId="0" borderId="19" xfId="107" applyBorder="1" applyAlignment="1">
      <alignment horizontal="left" wrapText="1"/>
    </xf>
    <xf numFmtId="0" fontId="12" fillId="0" borderId="48" xfId="107" applyBorder="1" applyAlignment="1">
      <alignment horizontal="left" wrapText="1"/>
    </xf>
    <xf numFmtId="0" fontId="12" fillId="0" borderId="48" xfId="107" applyBorder="1" applyAlignment="1">
      <alignment vertical="center"/>
    </xf>
    <xf numFmtId="0" fontId="83" fillId="29" borderId="55" xfId="71" applyFont="1" applyFill="1" applyBorder="1" applyAlignment="1" applyProtection="1">
      <alignment horizontal="center" vertical="center"/>
      <protection locked="0"/>
    </xf>
    <xf numFmtId="0" fontId="12" fillId="0" borderId="27" xfId="107" applyBorder="1" applyAlignment="1">
      <alignment horizontal="left" vertical="center" wrapText="1"/>
    </xf>
    <xf numFmtId="0" fontId="12" fillId="29" borderId="14" xfId="71" applyFont="1" applyFill="1" applyBorder="1" applyAlignment="1" applyProtection="1">
      <alignment horizontal="center" vertical="center" wrapText="1"/>
      <protection locked="0"/>
    </xf>
    <xf numFmtId="166" fontId="16" fillId="26" borderId="52" xfId="107" applyNumberFormat="1" applyFont="1" applyFill="1" applyBorder="1" applyAlignment="1">
      <alignment horizontal="center" vertical="center" wrapText="1"/>
    </xf>
    <xf numFmtId="0" fontId="12" fillId="0" borderId="14" xfId="107" applyBorder="1" applyAlignment="1">
      <alignment vertical="center" wrapText="1"/>
    </xf>
    <xf numFmtId="0" fontId="23" fillId="0" borderId="46" xfId="107" applyFont="1" applyBorder="1" applyAlignment="1">
      <alignment vertical="center" wrapText="1"/>
    </xf>
    <xf numFmtId="0" fontId="26" fillId="0" borderId="46" xfId="107" applyFont="1" applyBorder="1" applyAlignment="1">
      <alignment vertical="center" wrapText="1"/>
    </xf>
    <xf numFmtId="167" fontId="15" fillId="0" borderId="30" xfId="86" applyNumberFormat="1" applyFont="1" applyBorder="1" applyAlignment="1" applyProtection="1">
      <alignment horizontal="center" vertical="center" wrapText="1"/>
    </xf>
    <xf numFmtId="0" fontId="15" fillId="0" borderId="30" xfId="0" applyFont="1" applyBorder="1" applyAlignment="1">
      <alignment vertical="center"/>
    </xf>
    <xf numFmtId="0" fontId="15" fillId="0" borderId="19" xfId="0" applyFont="1" applyBorder="1" applyAlignment="1">
      <alignment horizontal="center" vertical="center" wrapText="1"/>
    </xf>
    <xf numFmtId="1" fontId="19" fillId="27" borderId="14" xfId="0" applyNumberFormat="1" applyFont="1" applyFill="1" applyBorder="1" applyAlignment="1" applyProtection="1">
      <alignment horizontal="center" vertical="center" wrapText="1"/>
      <protection locked="0"/>
    </xf>
    <xf numFmtId="0" fontId="15" fillId="0" borderId="0" xfId="107" applyFont="1" applyAlignment="1">
      <alignment vertical="center" wrapText="1"/>
    </xf>
    <xf numFmtId="0" fontId="16" fillId="26" borderId="115" xfId="107" applyFont="1" applyFill="1" applyBorder="1" applyAlignment="1">
      <alignment horizontal="center" vertical="center" wrapText="1"/>
    </xf>
    <xf numFmtId="0" fontId="16" fillId="0" borderId="114" xfId="107" applyFont="1" applyBorder="1" applyAlignment="1">
      <alignment horizontal="center" vertical="center"/>
    </xf>
    <xf numFmtId="0" fontId="28" fillId="26" borderId="95" xfId="107" applyFont="1" applyFill="1" applyBorder="1" applyAlignment="1">
      <alignment vertical="center" wrapText="1"/>
    </xf>
    <xf numFmtId="0" fontId="15" fillId="0" borderId="30" xfId="107" applyFont="1" applyBorder="1" applyAlignment="1">
      <alignment vertical="center"/>
    </xf>
    <xf numFmtId="0" fontId="15" fillId="28" borderId="90" xfId="107" applyFont="1" applyFill="1" applyBorder="1" applyAlignment="1">
      <alignment vertical="center" wrapText="1"/>
    </xf>
    <xf numFmtId="166" fontId="15" fillId="0" borderId="70" xfId="0" applyNumberFormat="1" applyFont="1" applyBorder="1" applyAlignment="1">
      <alignment horizontal="center" vertical="center" wrapText="1"/>
    </xf>
    <xf numFmtId="166" fontId="15" fillId="0" borderId="27" xfId="0" applyNumberFormat="1" applyFont="1" applyBorder="1" applyAlignment="1">
      <alignment horizontal="center" vertical="center" wrapText="1"/>
    </xf>
    <xf numFmtId="1" fontId="16" fillId="0" borderId="20" xfId="0" applyNumberFormat="1" applyFont="1" applyBorder="1" applyAlignment="1">
      <alignment horizontal="center" vertical="center" wrapText="1"/>
    </xf>
    <xf numFmtId="0" fontId="50" fillId="27" borderId="32" xfId="71" applyFont="1" applyFill="1" applyBorder="1" applyAlignment="1" applyProtection="1">
      <alignment horizontal="center" vertical="center"/>
    </xf>
    <xf numFmtId="0" fontId="12" fillId="29" borderId="31" xfId="0" applyFont="1" applyFill="1" applyBorder="1" applyAlignment="1" applyProtection="1">
      <alignment horizontal="center" vertical="center"/>
      <protection locked="0"/>
    </xf>
    <xf numFmtId="0" fontId="12" fillId="0" borderId="10" xfId="0" applyFont="1" applyBorder="1" applyAlignment="1">
      <alignment horizontal="left" vertical="center"/>
    </xf>
    <xf numFmtId="0" fontId="0" fillId="0" borderId="89" xfId="0" applyBorder="1" applyAlignment="1">
      <alignment horizontal="left" vertical="center" wrapText="1"/>
    </xf>
    <xf numFmtId="0" fontId="15" fillId="0" borderId="27" xfId="0" applyFont="1" applyBorder="1" applyAlignment="1">
      <alignment horizontal="center" vertical="center"/>
    </xf>
    <xf numFmtId="0" fontId="15" fillId="0" borderId="30" xfId="0" applyFont="1" applyBorder="1" applyAlignment="1">
      <alignment horizontal="center" vertical="center"/>
    </xf>
    <xf numFmtId="0" fontId="15" fillId="0" borderId="37" xfId="0" applyFont="1" applyBorder="1" applyAlignment="1">
      <alignment horizontal="center" vertical="center" wrapText="1"/>
    </xf>
    <xf numFmtId="0" fontId="62" fillId="0" borderId="0" xfId="1144"/>
    <xf numFmtId="0" fontId="15" fillId="27" borderId="118" xfId="107" applyFont="1" applyFill="1" applyBorder="1" applyAlignment="1">
      <alignment vertical="center" wrapText="1"/>
    </xf>
    <xf numFmtId="0" fontId="15" fillId="27" borderId="105" xfId="107" applyFont="1" applyFill="1" applyBorder="1" applyAlignment="1">
      <alignment vertical="center" wrapText="1"/>
    </xf>
    <xf numFmtId="0" fontId="15" fillId="27" borderId="33" xfId="107" applyFont="1" applyFill="1" applyBorder="1" applyAlignment="1">
      <alignment horizontal="center" vertical="center" wrapText="1"/>
    </xf>
    <xf numFmtId="0" fontId="50" fillId="27" borderId="32" xfId="1145" applyFont="1" applyFill="1" applyBorder="1" applyAlignment="1">
      <alignment horizontal="center" vertical="center"/>
    </xf>
    <xf numFmtId="0" fontId="62" fillId="0" borderId="10" xfId="1144" applyBorder="1" applyAlignment="1">
      <alignment vertical="center" wrapText="1"/>
    </xf>
    <xf numFmtId="0" fontId="62" fillId="0" borderId="11" xfId="1144" applyBorder="1" applyAlignment="1">
      <alignment horizontal="center" vertical="center" wrapText="1"/>
    </xf>
    <xf numFmtId="0" fontId="12" fillId="0" borderId="31" xfId="107" applyBorder="1" applyAlignment="1">
      <alignment horizontal="center" vertical="center"/>
    </xf>
    <xf numFmtId="0" fontId="62" fillId="0" borderId="11" xfId="1144" applyBorder="1" applyAlignment="1">
      <alignment vertical="center" wrapText="1"/>
    </xf>
    <xf numFmtId="0" fontId="62" fillId="0" borderId="22" xfId="1144" applyBorder="1" applyAlignment="1">
      <alignment horizontal="center" vertical="center" wrapText="1"/>
    </xf>
    <xf numFmtId="0" fontId="12" fillId="29" borderId="31" xfId="107" applyFill="1" applyBorder="1" applyAlignment="1" applyProtection="1">
      <alignment horizontal="center" vertical="center" wrapText="1"/>
      <protection locked="0"/>
    </xf>
    <xf numFmtId="0" fontId="86" fillId="0" borderId="10" xfId="1144" applyFont="1" applyBorder="1" applyAlignment="1">
      <alignment vertical="center" wrapText="1"/>
    </xf>
    <xf numFmtId="0" fontId="87" fillId="26" borderId="95" xfId="107" applyFont="1" applyFill="1" applyBorder="1" applyAlignment="1">
      <alignment vertical="center" wrapText="1"/>
    </xf>
    <xf numFmtId="0" fontId="87" fillId="26" borderId="94" xfId="107" applyFont="1" applyFill="1" applyBorder="1" applyAlignment="1">
      <alignment vertical="center" wrapText="1"/>
    </xf>
    <xf numFmtId="0" fontId="87" fillId="26" borderId="94" xfId="107" applyFont="1" applyFill="1" applyBorder="1" applyAlignment="1">
      <alignment horizontal="center" vertical="center" wrapText="1"/>
    </xf>
    <xf numFmtId="0" fontId="87" fillId="26" borderId="26" xfId="107" applyFont="1" applyFill="1" applyBorder="1" applyAlignment="1">
      <alignment horizontal="center" vertical="center" wrapText="1"/>
    </xf>
    <xf numFmtId="0" fontId="88" fillId="0" borderId="0" xfId="1144" applyFont="1" applyAlignment="1">
      <alignment vertical="center"/>
    </xf>
    <xf numFmtId="0" fontId="26" fillId="27" borderId="15" xfId="107" applyFont="1" applyFill="1" applyBorder="1" applyAlignment="1">
      <alignment vertical="center" wrapText="1"/>
    </xf>
    <xf numFmtId="0" fontId="26" fillId="27" borderId="16" xfId="107" applyFont="1" applyFill="1" applyBorder="1" applyAlignment="1">
      <alignment vertical="center" wrapText="1"/>
    </xf>
    <xf numFmtId="0" fontId="26" fillId="27" borderId="16" xfId="107" applyFont="1" applyFill="1" applyBorder="1" applyAlignment="1">
      <alignment horizontal="center" vertical="center" wrapText="1"/>
    </xf>
    <xf numFmtId="0" fontId="26" fillId="27" borderId="32" xfId="107" applyFont="1" applyFill="1" applyBorder="1" applyAlignment="1">
      <alignment horizontal="center" vertical="center" wrapText="1"/>
    </xf>
    <xf numFmtId="0" fontId="12" fillId="0" borderId="46" xfId="107" applyBorder="1" applyAlignment="1">
      <alignment vertical="center"/>
    </xf>
    <xf numFmtId="0" fontId="23" fillId="0" borderId="11" xfId="107" applyFont="1" applyBorder="1" applyAlignment="1">
      <alignment vertical="center" wrapText="1"/>
    </xf>
    <xf numFmtId="0" fontId="23" fillId="0" borderId="10" xfId="107" applyFont="1" applyBorder="1" applyAlignment="1">
      <alignment vertical="center" wrapText="1"/>
    </xf>
    <xf numFmtId="0" fontId="23" fillId="0" borderId="21" xfId="107" applyFont="1" applyBorder="1" applyAlignment="1">
      <alignment horizontal="center" vertical="center" wrapText="1"/>
    </xf>
    <xf numFmtId="0" fontId="12" fillId="0" borderId="0" xfId="107" applyProtection="1">
      <protection locked="0"/>
    </xf>
    <xf numFmtId="0" fontId="28" fillId="26" borderId="94" xfId="107" applyFont="1" applyFill="1" applyBorder="1" applyAlignment="1">
      <alignment vertical="center" wrapText="1"/>
    </xf>
    <xf numFmtId="0" fontId="28" fillId="26" borderId="13" xfId="107" applyFont="1" applyFill="1" applyBorder="1" applyAlignment="1">
      <alignment horizontal="center" vertical="center" wrapText="1"/>
    </xf>
    <xf numFmtId="0" fontId="23" fillId="0" borderId="0" xfId="107" applyFont="1" applyAlignment="1">
      <alignment horizontal="left" vertical="top" wrapText="1"/>
    </xf>
    <xf numFmtId="0" fontId="12" fillId="0" borderId="0" xfId="107" applyAlignment="1">
      <alignment horizontal="center" vertical="center"/>
    </xf>
    <xf numFmtId="0" fontId="28" fillId="26" borderId="52" xfId="107" applyFont="1" applyFill="1" applyBorder="1" applyAlignment="1">
      <alignment vertical="center" wrapText="1"/>
    </xf>
    <xf numFmtId="0" fontId="23" fillId="0" borderId="22" xfId="107" applyFont="1" applyBorder="1" applyAlignment="1">
      <alignment horizontal="center" vertical="center" wrapText="1"/>
    </xf>
    <xf numFmtId="0" fontId="23" fillId="0" borderId="17" xfId="107" applyFont="1" applyBorder="1" applyAlignment="1">
      <alignment vertical="center" wrapText="1"/>
    </xf>
    <xf numFmtId="0" fontId="26" fillId="27" borderId="72" xfId="107" applyFont="1" applyFill="1" applyBorder="1" applyAlignment="1">
      <alignment horizontal="center" vertical="center" wrapText="1"/>
    </xf>
    <xf numFmtId="0" fontId="12" fillId="0" borderId="0" xfId="107" applyAlignment="1" applyProtection="1">
      <alignment vertical="center"/>
      <protection locked="0"/>
    </xf>
    <xf numFmtId="0" fontId="12" fillId="0" borderId="89" xfId="107" applyBorder="1" applyAlignment="1">
      <alignment vertical="center" wrapText="1"/>
    </xf>
    <xf numFmtId="0" fontId="28" fillId="26" borderId="26" xfId="107" applyFont="1" applyFill="1" applyBorder="1" applyAlignment="1">
      <alignment horizontal="center" vertical="center" wrapText="1"/>
    </xf>
    <xf numFmtId="0" fontId="12" fillId="0" borderId="36" xfId="107" applyBorder="1" applyAlignment="1">
      <alignment vertical="center"/>
    </xf>
    <xf numFmtId="0" fontId="44" fillId="0" borderId="0" xfId="85" applyBorder="1" applyAlignment="1" applyProtection="1"/>
    <xf numFmtId="0" fontId="12" fillId="0" borderId="28" xfId="107" applyBorder="1" applyAlignment="1">
      <alignment horizontal="center" vertical="center" wrapText="1"/>
    </xf>
    <xf numFmtId="0" fontId="12" fillId="0" borderId="37" xfId="107" applyBorder="1" applyAlignment="1">
      <alignment vertical="center" wrapText="1"/>
    </xf>
    <xf numFmtId="0" fontId="12" fillId="0" borderId="24" xfId="107" applyBorder="1" applyAlignment="1">
      <alignment horizontal="center" vertical="center" wrapText="1"/>
    </xf>
    <xf numFmtId="0" fontId="15" fillId="27" borderId="71" xfId="107" applyFont="1" applyFill="1" applyBorder="1" applyAlignment="1">
      <alignment vertical="center" wrapText="1"/>
    </xf>
    <xf numFmtId="0" fontId="15" fillId="27" borderId="16" xfId="107" applyFont="1" applyFill="1" applyBorder="1" applyAlignment="1">
      <alignment horizontal="center" vertical="center" wrapText="1"/>
    </xf>
    <xf numFmtId="0" fontId="12" fillId="0" borderId="19" xfId="107" applyBorder="1" applyAlignment="1">
      <alignment horizontal="center" vertical="center" wrapText="1"/>
    </xf>
    <xf numFmtId="0" fontId="12" fillId="0" borderId="53" xfId="107" applyBorder="1" applyAlignment="1">
      <alignment vertical="center" wrapText="1"/>
    </xf>
    <xf numFmtId="0" fontId="12" fillId="0" borderId="97" xfId="107" applyBorder="1" applyAlignment="1">
      <alignment horizontal="center" vertical="center" wrapText="1"/>
    </xf>
    <xf numFmtId="0" fontId="12" fillId="0" borderId="41" xfId="107" applyBorder="1" applyAlignment="1">
      <alignment vertical="center" wrapText="1"/>
    </xf>
    <xf numFmtId="0" fontId="12" fillId="0" borderId="30" xfId="107" applyBorder="1" applyAlignment="1">
      <alignment vertical="center" wrapText="1"/>
    </xf>
    <xf numFmtId="0" fontId="12" fillId="0" borderId="28" xfId="107" applyBorder="1" applyAlignment="1">
      <alignment vertical="center" wrapText="1"/>
    </xf>
    <xf numFmtId="0" fontId="12" fillId="26" borderId="0" xfId="107" applyFill="1" applyAlignment="1">
      <alignment vertical="center"/>
    </xf>
    <xf numFmtId="0" fontId="12" fillId="0" borderId="21" xfId="107" applyBorder="1" applyAlignment="1">
      <alignment horizontal="center" vertical="center" wrapText="1"/>
    </xf>
    <xf numFmtId="0" fontId="12" fillId="0" borderId="10" xfId="0" applyFont="1" applyBorder="1" applyAlignment="1">
      <alignment horizontal="left" vertical="center" wrapText="1"/>
    </xf>
    <xf numFmtId="0" fontId="12" fillId="0" borderId="78" xfId="107" applyBorder="1" applyAlignment="1">
      <alignment horizontal="center" vertical="center" wrapText="1"/>
    </xf>
    <xf numFmtId="0" fontId="12" fillId="0" borderId="40" xfId="107" applyBorder="1" applyAlignment="1">
      <alignment vertical="center" wrapText="1"/>
    </xf>
    <xf numFmtId="0" fontId="12" fillId="0" borderId="14" xfId="107" applyBorder="1" applyAlignment="1">
      <alignment horizontal="center" vertical="center" wrapText="1"/>
    </xf>
    <xf numFmtId="0" fontId="12" fillId="0" borderId="19" xfId="107" applyBorder="1" applyAlignment="1">
      <alignment vertical="center" wrapText="1"/>
    </xf>
    <xf numFmtId="0" fontId="12" fillId="0" borderId="20" xfId="107" applyBorder="1" applyAlignment="1">
      <alignment horizontal="center" vertical="center"/>
    </xf>
    <xf numFmtId="0" fontId="28" fillId="26" borderId="114" xfId="107" applyFont="1" applyFill="1" applyBorder="1" applyAlignment="1">
      <alignment vertical="center" wrapText="1"/>
    </xf>
    <xf numFmtId="0" fontId="50" fillId="29" borderId="58" xfId="71" applyFont="1" applyFill="1" applyBorder="1" applyAlignment="1" applyProtection="1">
      <alignment horizontal="center" vertical="center" wrapText="1"/>
    </xf>
    <xf numFmtId="0" fontId="15" fillId="0" borderId="76" xfId="107" applyFont="1" applyBorder="1" applyAlignment="1">
      <alignment vertical="center" wrapText="1"/>
    </xf>
    <xf numFmtId="0" fontId="12" fillId="0" borderId="43" xfId="107" applyBorder="1" applyAlignment="1">
      <alignment horizontal="center" vertical="center" wrapText="1"/>
    </xf>
    <xf numFmtId="0" fontId="12" fillId="0" borderId="31" xfId="107" applyBorder="1" applyAlignment="1">
      <alignment horizontal="center" vertical="center" wrapText="1"/>
    </xf>
    <xf numFmtId="0" fontId="50" fillId="29" borderId="58" xfId="71" applyFont="1" applyFill="1" applyBorder="1" applyAlignment="1" applyProtection="1">
      <alignment horizontal="center" vertical="center" wrapText="1"/>
      <protection locked="0"/>
    </xf>
    <xf numFmtId="0" fontId="12" fillId="0" borderId="59" xfId="107" applyBorder="1" applyAlignment="1">
      <alignment horizontal="center" vertical="center"/>
    </xf>
    <xf numFmtId="1" fontId="16" fillId="26" borderId="31" xfId="107" applyNumberFormat="1" applyFont="1" applyFill="1" applyBorder="1" applyAlignment="1">
      <alignment horizontal="center" vertical="center"/>
    </xf>
    <xf numFmtId="0" fontId="12" fillId="0" borderId="45" xfId="107" applyBorder="1" applyAlignment="1">
      <alignment horizontal="center" vertical="center"/>
    </xf>
    <xf numFmtId="0" fontId="13" fillId="0" borderId="0" xfId="107" applyFont="1"/>
    <xf numFmtId="0" fontId="12" fillId="0" borderId="52" xfId="107" applyBorder="1" applyAlignment="1">
      <alignment horizontal="center" vertical="center"/>
    </xf>
    <xf numFmtId="0" fontId="50" fillId="29" borderId="20" xfId="71" applyFont="1" applyFill="1" applyBorder="1" applyAlignment="1" applyProtection="1">
      <alignment horizontal="center" vertical="center" wrapText="1"/>
      <protection locked="0"/>
    </xf>
    <xf numFmtId="0" fontId="16" fillId="26" borderId="29" xfId="107" applyFont="1" applyFill="1" applyBorder="1" applyAlignment="1">
      <alignment horizontal="center" vertical="center"/>
    </xf>
    <xf numFmtId="166" fontId="16" fillId="26" borderId="29" xfId="107" applyNumberFormat="1" applyFont="1" applyFill="1" applyBorder="1" applyAlignment="1">
      <alignment horizontal="center" vertical="center"/>
    </xf>
    <xf numFmtId="0" fontId="61" fillId="0" borderId="0" xfId="1146" applyFont="1" applyAlignment="1">
      <alignment vertical="center"/>
    </xf>
    <xf numFmtId="0" fontId="61" fillId="0" borderId="19" xfId="1146" applyFont="1" applyBorder="1" applyAlignment="1">
      <alignment vertical="center"/>
    </xf>
    <xf numFmtId="0" fontId="68" fillId="27" borderId="64" xfId="1146" applyFont="1" applyFill="1" applyBorder="1" applyAlignment="1">
      <alignment horizontal="left" vertical="center"/>
    </xf>
    <xf numFmtId="0" fontId="68" fillId="27" borderId="71" xfId="1146" applyFont="1" applyFill="1" applyBorder="1" applyAlignment="1">
      <alignment horizontal="center" vertical="center"/>
    </xf>
    <xf numFmtId="0" fontId="68" fillId="27" borderId="59" xfId="1146" applyFont="1" applyFill="1" applyBorder="1" applyAlignment="1">
      <alignment horizontal="left" vertical="center"/>
    </xf>
    <xf numFmtId="0" fontId="62" fillId="0" borderId="49" xfId="1146" applyFont="1" applyBorder="1" applyAlignment="1">
      <alignment vertical="center"/>
    </xf>
    <xf numFmtId="0" fontId="62" fillId="0" borderId="58" xfId="1146" applyFont="1" applyBorder="1" applyAlignment="1">
      <alignment vertical="center"/>
    </xf>
    <xf numFmtId="0" fontId="62" fillId="0" borderId="17" xfId="1146" applyFont="1" applyBorder="1" applyAlignment="1">
      <alignment vertical="center"/>
    </xf>
    <xf numFmtId="168" fontId="12" fillId="29" borderId="10" xfId="72" applyNumberFormat="1" applyFont="1" applyFill="1" applyBorder="1" applyAlignment="1" applyProtection="1">
      <alignment horizontal="center" vertical="center"/>
      <protection locked="0"/>
    </xf>
    <xf numFmtId="0" fontId="62" fillId="0" borderId="22" xfId="1146" applyFont="1" applyBorder="1" applyAlignment="1">
      <alignment vertical="center"/>
    </xf>
    <xf numFmtId="0" fontId="62" fillId="0" borderId="17" xfId="1146" applyFont="1" applyBorder="1" applyAlignment="1" applyProtection="1">
      <alignment horizontal="left" vertical="center" wrapText="1"/>
      <protection locked="0"/>
    </xf>
    <xf numFmtId="0" fontId="62" fillId="0" borderId="0" xfId="1146" applyFont="1" applyAlignment="1">
      <alignment vertical="center"/>
    </xf>
    <xf numFmtId="0" fontId="12" fillId="29" borderId="10" xfId="72" applyFont="1" applyFill="1" applyBorder="1" applyAlignment="1" applyProtection="1">
      <alignment horizontal="right" vertical="center"/>
    </xf>
    <xf numFmtId="0" fontId="62" fillId="0" borderId="31" xfId="1146" applyFont="1" applyBorder="1" applyAlignment="1">
      <alignment horizontal="left" vertical="center" wrapText="1"/>
    </xf>
    <xf numFmtId="0" fontId="62" fillId="0" borderId="25" xfId="1146" applyFont="1" applyBorder="1" applyAlignment="1">
      <alignment vertical="center"/>
    </xf>
    <xf numFmtId="0" fontId="2" fillId="0" borderId="31" xfId="1146" applyBorder="1"/>
    <xf numFmtId="0" fontId="62" fillId="0" borderId="50" xfId="1146" applyFont="1" applyBorder="1" applyAlignment="1">
      <alignment vertical="center"/>
    </xf>
    <xf numFmtId="0" fontId="62" fillId="0" borderId="18" xfId="1146" applyFont="1" applyBorder="1" applyAlignment="1">
      <alignment horizontal="left" vertical="center" wrapText="1"/>
    </xf>
    <xf numFmtId="0" fontId="62" fillId="0" borderId="27" xfId="1146" applyFont="1" applyBorder="1" applyAlignment="1">
      <alignment vertical="center"/>
    </xf>
    <xf numFmtId="0" fontId="62" fillId="0" borderId="44" xfId="1146" applyFont="1" applyBorder="1" applyAlignment="1">
      <alignment vertical="center"/>
    </xf>
    <xf numFmtId="0" fontId="62" fillId="0" borderId="78" xfId="1146" applyFont="1" applyBorder="1" applyAlignment="1">
      <alignment vertical="center"/>
    </xf>
    <xf numFmtId="0" fontId="62" fillId="0" borderId="97" xfId="1146" applyFont="1" applyBorder="1" applyAlignment="1">
      <alignment vertical="center"/>
    </xf>
    <xf numFmtId="0" fontId="91" fillId="0" borderId="17" xfId="1146" applyFont="1" applyBorder="1" applyAlignment="1" applyProtection="1">
      <alignment horizontal="left" vertical="center" wrapText="1"/>
      <protection locked="0"/>
    </xf>
    <xf numFmtId="0" fontId="62" fillId="0" borderId="23" xfId="1146" applyFont="1" applyBorder="1" applyAlignment="1">
      <alignment vertical="center"/>
    </xf>
    <xf numFmtId="0" fontId="12" fillId="29" borderId="37" xfId="72" applyFont="1" applyFill="1" applyBorder="1" applyAlignment="1" applyProtection="1">
      <alignment horizontal="right" vertical="center"/>
    </xf>
    <xf numFmtId="0" fontId="62" fillId="0" borderId="24" xfId="1146" applyFont="1" applyBorder="1" applyAlignment="1">
      <alignment vertical="center"/>
    </xf>
    <xf numFmtId="0" fontId="91" fillId="0" borderId="26" xfId="1146" applyFont="1" applyBorder="1" applyAlignment="1">
      <alignment horizontal="left" vertical="center" wrapText="1"/>
    </xf>
    <xf numFmtId="0" fontId="64" fillId="0" borderId="0" xfId="72" applyFont="1" applyFill="1" applyBorder="1" applyAlignment="1" applyProtection="1">
      <alignment vertical="center"/>
    </xf>
    <xf numFmtId="0" fontId="62" fillId="0" borderId="48" xfId="1146" applyFont="1" applyBorder="1" applyAlignment="1">
      <alignment horizontal="left" vertical="center" wrapText="1"/>
    </xf>
    <xf numFmtId="0" fontId="62" fillId="0" borderId="14" xfId="1146" applyFont="1" applyBorder="1" applyAlignment="1">
      <alignment vertical="center"/>
    </xf>
    <xf numFmtId="0" fontId="62" fillId="0" borderId="0" xfId="1146" applyFont="1" applyAlignment="1">
      <alignment horizontal="left" vertical="center" wrapText="1"/>
    </xf>
    <xf numFmtId="0" fontId="61" fillId="0" borderId="25" xfId="1146" applyFont="1" applyBorder="1" applyAlignment="1">
      <alignment vertical="center"/>
    </xf>
    <xf numFmtId="0" fontId="61" fillId="0" borderId="14" xfId="1146" applyFont="1" applyBorder="1" applyAlignment="1">
      <alignment vertical="center"/>
    </xf>
    <xf numFmtId="0" fontId="51" fillId="27" borderId="93" xfId="146" applyFont="1" applyFill="1" applyBorder="1" applyAlignment="1" applyProtection="1">
      <alignment horizontal="left" vertical="center"/>
    </xf>
    <xf numFmtId="0" fontId="51" fillId="27" borderId="10" xfId="146" applyFont="1" applyFill="1" applyBorder="1" applyAlignment="1" applyProtection="1">
      <alignment horizontal="center" vertical="center"/>
    </xf>
    <xf numFmtId="0" fontId="51" fillId="27" borderId="45" xfId="146" applyFont="1" applyFill="1" applyBorder="1" applyAlignment="1" applyProtection="1">
      <alignment horizontal="left" vertical="center"/>
    </xf>
    <xf numFmtId="168" fontId="12" fillId="26" borderId="10" xfId="1147" applyNumberFormat="1" applyFont="1" applyFill="1" applyBorder="1" applyAlignment="1">
      <alignment horizontal="center" vertical="center"/>
    </xf>
    <xf numFmtId="0" fontId="12" fillId="26" borderId="10" xfId="1147" applyFont="1" applyFill="1" applyBorder="1" applyAlignment="1">
      <alignment horizontal="right" vertical="center"/>
    </xf>
    <xf numFmtId="0" fontId="63" fillId="0" borderId="0" xfId="1146" applyFont="1" applyAlignment="1">
      <alignment vertical="center"/>
    </xf>
    <xf numFmtId="168" fontId="12" fillId="26" borderId="10" xfId="1147" applyNumberFormat="1" applyFont="1" applyFill="1" applyBorder="1" applyAlignment="1">
      <alignment horizontal="right" vertical="center"/>
    </xf>
    <xf numFmtId="0" fontId="15" fillId="26" borderId="51" xfId="1146" applyFont="1" applyFill="1" applyBorder="1" applyAlignment="1">
      <alignment vertical="center"/>
    </xf>
    <xf numFmtId="1" fontId="16" fillId="26" borderId="54" xfId="1147" applyNumberFormat="1" applyFont="1" applyFill="1" applyBorder="1" applyAlignment="1">
      <alignment horizontal="center" vertical="center"/>
    </xf>
    <xf numFmtId="0" fontId="79" fillId="0" borderId="32" xfId="1146" applyFont="1" applyBorder="1" applyAlignment="1">
      <alignment vertical="center"/>
    </xf>
    <xf numFmtId="0" fontId="91" fillId="0" borderId="0" xfId="1146" applyFont="1" applyAlignment="1">
      <alignment vertical="center"/>
    </xf>
    <xf numFmtId="0" fontId="15" fillId="26" borderId="12" xfId="1146" applyFont="1" applyFill="1" applyBorder="1" applyAlignment="1">
      <alignment vertical="center"/>
    </xf>
    <xf numFmtId="1" fontId="16" fillId="26" borderId="12" xfId="1147" applyNumberFormat="1" applyFont="1" applyFill="1" applyBorder="1" applyAlignment="1">
      <alignment horizontal="center" vertical="center"/>
    </xf>
    <xf numFmtId="0" fontId="63" fillId="0" borderId="78" xfId="1146" applyFont="1" applyBorder="1" applyAlignment="1">
      <alignment vertical="center"/>
    </xf>
    <xf numFmtId="0" fontId="65" fillId="26" borderId="39" xfId="1146" applyFont="1" applyFill="1" applyBorder="1" applyAlignment="1">
      <alignment vertical="center"/>
    </xf>
    <xf numFmtId="1" fontId="16" fillId="26" borderId="38" xfId="1147" applyNumberFormat="1" applyFont="1" applyFill="1" applyBorder="1" applyAlignment="1">
      <alignment horizontal="center" vertical="center"/>
    </xf>
    <xf numFmtId="0" fontId="63" fillId="0" borderId="20" xfId="1146" applyFont="1" applyBorder="1" applyAlignment="1">
      <alignment vertical="center"/>
    </xf>
    <xf numFmtId="0" fontId="65" fillId="26" borderId="12" xfId="1146" applyFont="1" applyFill="1" applyBorder="1" applyAlignment="1">
      <alignment vertical="center"/>
    </xf>
    <xf numFmtId="0" fontId="63" fillId="0" borderId="14" xfId="1146" applyFont="1" applyBorder="1" applyAlignment="1">
      <alignment vertical="center"/>
    </xf>
    <xf numFmtId="1" fontId="16" fillId="26" borderId="91" xfId="1147" applyNumberFormat="1" applyFont="1" applyFill="1" applyBorder="1" applyAlignment="1">
      <alignment horizontal="center" vertical="center"/>
    </xf>
    <xf numFmtId="0" fontId="62" fillId="0" borderId="20" xfId="1146" applyFont="1" applyBorder="1" applyAlignment="1">
      <alignment vertical="center"/>
    </xf>
    <xf numFmtId="0" fontId="92" fillId="0" borderId="0" xfId="1146" applyFont="1"/>
    <xf numFmtId="0" fontId="61" fillId="0" borderId="0" xfId="1146" applyFont="1"/>
    <xf numFmtId="0" fontId="65" fillId="26" borderId="51" xfId="1146" applyFont="1" applyFill="1" applyBorder="1" applyAlignment="1">
      <alignment vertical="center"/>
    </xf>
    <xf numFmtId="0" fontId="62" fillId="0" borderId="13" xfId="1146" applyFont="1" applyBorder="1" applyAlignment="1">
      <alignment horizontal="center" vertical="center"/>
    </xf>
    <xf numFmtId="1" fontId="61" fillId="0" borderId="0" xfId="1146" applyNumberFormat="1" applyFont="1"/>
    <xf numFmtId="0" fontId="65" fillId="0" borderId="23" xfId="1148" applyFont="1" applyBorder="1" applyAlignment="1">
      <alignment vertical="center"/>
    </xf>
    <xf numFmtId="168" fontId="16" fillId="0" borderId="37" xfId="1149" applyNumberFormat="1" applyFont="1" applyBorder="1" applyAlignment="1">
      <alignment horizontal="center" vertical="center"/>
    </xf>
    <xf numFmtId="0" fontId="63" fillId="0" borderId="24" xfId="1148" applyFont="1" applyBorder="1" applyAlignment="1">
      <alignment horizontal="center" vertical="center"/>
    </xf>
    <xf numFmtId="0" fontId="61" fillId="0" borderId="17" xfId="1146" applyFont="1" applyBorder="1" applyAlignment="1" applyProtection="1">
      <alignment horizontal="left" vertical="center"/>
      <protection locked="0"/>
    </xf>
    <xf numFmtId="0" fontId="61" fillId="0" borderId="0" xfId="1148" applyFont="1"/>
    <xf numFmtId="0" fontId="61" fillId="38" borderId="0" xfId="1148" applyFont="1" applyFill="1"/>
    <xf numFmtId="168" fontId="61" fillId="38" borderId="0" xfId="1148" applyNumberFormat="1" applyFont="1" applyFill="1"/>
    <xf numFmtId="1" fontId="61" fillId="38" borderId="0" xfId="1148" applyNumberFormat="1" applyFont="1" applyFill="1"/>
    <xf numFmtId="0" fontId="61" fillId="38" borderId="0" xfId="1149" applyFont="1" applyFill="1"/>
    <xf numFmtId="0" fontId="61" fillId="38" borderId="10" xfId="1149" applyFont="1" applyFill="1" applyBorder="1" applyAlignment="1">
      <alignment horizontal="center" vertical="center"/>
    </xf>
    <xf numFmtId="0" fontId="61" fillId="38" borderId="0" xfId="1149" applyFont="1" applyFill="1" applyAlignment="1">
      <alignment horizontal="center" vertical="center"/>
    </xf>
    <xf numFmtId="1" fontId="61" fillId="38" borderId="10" xfId="1149" applyNumberFormat="1" applyFont="1" applyFill="1" applyBorder="1"/>
    <xf numFmtId="0" fontId="16" fillId="27" borderId="10" xfId="0" applyFont="1" applyFill="1" applyBorder="1" applyAlignment="1">
      <alignment horizontal="center" vertical="center" wrapText="1"/>
    </xf>
    <xf numFmtId="0" fontId="16" fillId="27" borderId="17" xfId="0" applyFont="1" applyFill="1" applyBorder="1" applyAlignment="1">
      <alignment horizontal="center" vertical="center"/>
    </xf>
    <xf numFmtId="165" fontId="16" fillId="27" borderId="10" xfId="0" applyNumberFormat="1" applyFont="1" applyFill="1" applyBorder="1" applyAlignment="1">
      <alignment horizontal="center" vertical="center"/>
    </xf>
    <xf numFmtId="0" fontId="15" fillId="0" borderId="34" xfId="0" applyFont="1" applyBorder="1" applyAlignment="1">
      <alignment horizontal="center" vertical="center"/>
    </xf>
    <xf numFmtId="165" fontId="15" fillId="0" borderId="88" xfId="0" applyNumberFormat="1" applyFont="1" applyBorder="1" applyAlignment="1">
      <alignment horizontal="center" vertical="center"/>
    </xf>
    <xf numFmtId="0" fontId="16" fillId="30" borderId="10" xfId="0" applyFont="1" applyFill="1" applyBorder="1" applyAlignment="1">
      <alignment horizontal="center" vertical="center" wrapText="1"/>
    </xf>
    <xf numFmtId="0" fontId="12" fillId="29" borderId="42" xfId="107" applyFill="1" applyBorder="1" applyAlignment="1" applyProtection="1">
      <alignment horizontal="center" vertical="center"/>
      <protection locked="0"/>
    </xf>
    <xf numFmtId="0" fontId="12" fillId="29" borderId="26" xfId="107" applyFill="1" applyBorder="1" applyAlignment="1" applyProtection="1">
      <alignment horizontal="center" vertical="center"/>
      <protection locked="0"/>
    </xf>
    <xf numFmtId="165" fontId="22" fillId="0" borderId="114" xfId="0" applyNumberFormat="1" applyFont="1" applyBorder="1" applyAlignment="1">
      <alignment horizontal="center" vertical="center"/>
    </xf>
    <xf numFmtId="0" fontId="12" fillId="0" borderId="0" xfId="0" applyFont="1" applyAlignment="1">
      <alignment horizontal="left" vertical="center" wrapText="1"/>
    </xf>
    <xf numFmtId="1" fontId="19" fillId="26" borderId="115" xfId="0" applyNumberFormat="1" applyFont="1" applyFill="1" applyBorder="1" applyAlignment="1" applyProtection="1">
      <alignment horizontal="center" vertical="center" wrapText="1"/>
      <protection locked="0"/>
    </xf>
    <xf numFmtId="0" fontId="9" fillId="0" borderId="115" xfId="145" applyBorder="1"/>
    <xf numFmtId="0" fontId="16" fillId="0" borderId="114" xfId="107" applyFont="1" applyBorder="1" applyAlignment="1">
      <alignment horizontal="center"/>
    </xf>
    <xf numFmtId="0" fontId="16" fillId="0" borderId="114" xfId="107" applyFont="1" applyBorder="1" applyAlignment="1">
      <alignment horizontal="left" vertical="center"/>
    </xf>
    <xf numFmtId="0" fontId="12" fillId="0" borderId="114" xfId="107" applyBorder="1"/>
    <xf numFmtId="0" fontId="12" fillId="0" borderId="114" xfId="107" applyBorder="1" applyAlignment="1">
      <alignment wrapText="1"/>
    </xf>
    <xf numFmtId="0" fontId="16" fillId="0" borderId="114" xfId="107" applyFont="1" applyBorder="1" applyAlignment="1">
      <alignment horizontal="left"/>
    </xf>
    <xf numFmtId="0" fontId="12" fillId="0" borderId="114" xfId="107" applyBorder="1" applyAlignment="1">
      <alignment horizontal="center"/>
    </xf>
    <xf numFmtId="0" fontId="12" fillId="0" borderId="41" xfId="107" applyBorder="1" applyAlignment="1">
      <alignment horizontal="left" vertical="center" wrapText="1"/>
    </xf>
    <xf numFmtId="0" fontId="65" fillId="0" borderId="15" xfId="1151" applyFont="1" applyBorder="1" applyAlignment="1">
      <alignment vertical="center"/>
    </xf>
    <xf numFmtId="0" fontId="65" fillId="0" borderId="71" xfId="1151" applyFont="1" applyBorder="1" applyAlignment="1">
      <alignment horizontal="center" vertical="center"/>
    </xf>
    <xf numFmtId="0" fontId="65" fillId="0" borderId="72" xfId="1151" applyFont="1" applyBorder="1" applyAlignment="1">
      <alignment horizontal="center" vertical="center"/>
    </xf>
    <xf numFmtId="0" fontId="65" fillId="0" borderId="17" xfId="1151" applyFont="1" applyBorder="1" applyAlignment="1">
      <alignment vertical="center"/>
    </xf>
    <xf numFmtId="1" fontId="16" fillId="0" borderId="10" xfId="1152" applyNumberFormat="1" applyFont="1" applyBorder="1" applyAlignment="1">
      <alignment horizontal="center" vertical="center"/>
    </xf>
    <xf numFmtId="0" fontId="63" fillId="0" borderId="22" xfId="1151" applyFont="1" applyBorder="1" applyAlignment="1">
      <alignment horizontal="center" vertical="center"/>
    </xf>
    <xf numFmtId="0" fontId="23" fillId="0" borderId="11" xfId="1153" applyFont="1" applyBorder="1" applyAlignment="1">
      <alignment vertical="center" wrapText="1"/>
    </xf>
    <xf numFmtId="0" fontId="23" fillId="0" borderId="22" xfId="1153" applyFont="1" applyBorder="1" applyAlignment="1">
      <alignment horizontal="center" vertical="center" wrapText="1"/>
    </xf>
    <xf numFmtId="1" fontId="46" fillId="31" borderId="44" xfId="107" applyNumberFormat="1" applyFont="1" applyFill="1" applyBorder="1" applyAlignment="1" applyProtection="1">
      <alignment horizontal="center" vertical="center"/>
      <protection locked="0"/>
    </xf>
    <xf numFmtId="0" fontId="12" fillId="0" borderId="114" xfId="0" applyFont="1" applyBorder="1" applyAlignment="1">
      <alignment horizontal="center" vertical="center" wrapText="1"/>
    </xf>
    <xf numFmtId="0" fontId="12" fillId="0" borderId="19" xfId="0" applyFont="1" applyBorder="1" applyAlignment="1" applyProtection="1">
      <alignment vertical="center"/>
      <protection locked="0"/>
    </xf>
    <xf numFmtId="0" fontId="12" fillId="0" borderId="44" xfId="0" applyFont="1" applyBorder="1" applyAlignment="1">
      <alignment vertical="center" wrapText="1"/>
    </xf>
    <xf numFmtId="0" fontId="12" fillId="0" borderId="18" xfId="0" applyFont="1" applyBorder="1" applyAlignment="1">
      <alignment vertical="center" wrapText="1"/>
    </xf>
    <xf numFmtId="0" fontId="13" fillId="40" borderId="0" xfId="0" applyFont="1" applyFill="1" applyAlignment="1">
      <alignment vertical="center" wrapText="1"/>
    </xf>
    <xf numFmtId="0" fontId="12" fillId="0" borderId="17" xfId="1153" applyBorder="1" applyAlignment="1">
      <alignment horizontal="left" vertical="center" wrapText="1"/>
    </xf>
    <xf numFmtId="0" fontId="91" fillId="0" borderId="0" xfId="85" applyFont="1" applyProtection="1">
      <alignment vertical="top"/>
    </xf>
    <xf numFmtId="0" fontId="12" fillId="0" borderId="0" xfId="1153" applyAlignment="1">
      <alignment horizontal="left" vertical="center" wrapText="1"/>
    </xf>
    <xf numFmtId="0" fontId="16" fillId="0" borderId="114" xfId="1153" applyFont="1" applyBorder="1" applyAlignment="1">
      <alignment horizontal="center" vertical="center"/>
    </xf>
    <xf numFmtId="0" fontId="16" fillId="0" borderId="0" xfId="1153" applyFont="1" applyAlignment="1">
      <alignment horizontal="center" vertical="center"/>
    </xf>
    <xf numFmtId="0" fontId="16" fillId="0" borderId="0" xfId="1153" applyFont="1" applyAlignment="1">
      <alignment vertical="center"/>
    </xf>
    <xf numFmtId="0" fontId="12" fillId="0" borderId="0" xfId="1153" applyAlignment="1">
      <alignment vertical="center" wrapText="1"/>
    </xf>
    <xf numFmtId="0" fontId="15" fillId="28" borderId="90" xfId="1153" applyFont="1" applyFill="1" applyBorder="1" applyAlignment="1">
      <alignment vertical="center" wrapText="1"/>
    </xf>
    <xf numFmtId="0" fontId="15" fillId="28" borderId="33" xfId="1153" applyFont="1" applyFill="1" applyBorder="1" applyAlignment="1">
      <alignment horizontal="center" vertical="center" wrapText="1"/>
    </xf>
    <xf numFmtId="0" fontId="15" fillId="28" borderId="32" xfId="1153" applyFont="1" applyFill="1" applyBorder="1" applyAlignment="1">
      <alignment vertical="center" wrapText="1"/>
    </xf>
    <xf numFmtId="0" fontId="12" fillId="0" borderId="46" xfId="1153" applyBorder="1" applyAlignment="1">
      <alignment vertical="center" wrapText="1"/>
    </xf>
    <xf numFmtId="0" fontId="44" fillId="0" borderId="0" xfId="85" applyProtection="1">
      <alignment vertical="top"/>
    </xf>
    <xf numFmtId="0" fontId="12" fillId="0" borderId="22" xfId="1153" applyBorder="1" applyAlignment="1">
      <alignment horizontal="center" vertical="center" wrapText="1"/>
    </xf>
    <xf numFmtId="0" fontId="12" fillId="29" borderId="14" xfId="1145" applyFont="1" applyFill="1" applyBorder="1" applyAlignment="1" applyProtection="1">
      <alignment horizontal="center" vertical="center" wrapText="1"/>
      <protection locked="0"/>
    </xf>
    <xf numFmtId="0" fontId="12" fillId="0" borderId="11" xfId="1153" applyBorder="1" applyAlignment="1">
      <alignment horizontal="center" vertical="center" wrapText="1"/>
    </xf>
    <xf numFmtId="0" fontId="12" fillId="29" borderId="31" xfId="1145" applyFont="1" applyFill="1" applyBorder="1" applyAlignment="1" applyProtection="1">
      <alignment horizontal="center" vertical="center" wrapText="1"/>
      <protection locked="0"/>
    </xf>
    <xf numFmtId="0" fontId="12" fillId="0" borderId="0" xfId="1153" applyAlignment="1">
      <alignment wrapText="1"/>
    </xf>
    <xf numFmtId="0" fontId="28" fillId="26" borderId="95" xfId="1153" applyFont="1" applyFill="1" applyBorder="1" applyAlignment="1">
      <alignment vertical="center" wrapText="1"/>
    </xf>
    <xf numFmtId="0" fontId="16" fillId="26" borderId="115" xfId="1153" applyFont="1" applyFill="1" applyBorder="1" applyAlignment="1">
      <alignment horizontal="center" vertical="center" wrapText="1"/>
    </xf>
    <xf numFmtId="0" fontId="16" fillId="26" borderId="13" xfId="1153" applyFont="1" applyFill="1" applyBorder="1" applyAlignment="1">
      <alignment horizontal="center" vertical="center" wrapText="1"/>
    </xf>
    <xf numFmtId="0" fontId="12" fillId="0" borderId="0" xfId="1153" applyAlignment="1" applyProtection="1">
      <alignment vertical="center" wrapText="1"/>
      <protection locked="0"/>
    </xf>
    <xf numFmtId="0" fontId="16" fillId="0" borderId="0" xfId="1153" applyFont="1" applyAlignment="1">
      <alignment vertical="center" wrapText="1"/>
    </xf>
    <xf numFmtId="0" fontId="12" fillId="0" borderId="0" xfId="1153" applyAlignment="1">
      <alignment horizontal="center" wrapText="1"/>
    </xf>
    <xf numFmtId="164" fontId="12" fillId="0" borderId="0" xfId="1153" applyNumberFormat="1" applyAlignment="1">
      <alignment wrapText="1"/>
    </xf>
    <xf numFmtId="0" fontId="65" fillId="41" borderId="15" xfId="1148" applyFont="1" applyFill="1" applyBorder="1" applyAlignment="1">
      <alignment vertical="center"/>
    </xf>
    <xf numFmtId="0" fontId="65" fillId="41" borderId="71" xfId="1148" applyFont="1" applyFill="1" applyBorder="1" applyAlignment="1">
      <alignment horizontal="center" vertical="center"/>
    </xf>
    <xf numFmtId="0" fontId="65" fillId="41" borderId="72" xfId="1148" applyFont="1" applyFill="1" applyBorder="1" applyAlignment="1">
      <alignment horizontal="center" vertical="center"/>
    </xf>
    <xf numFmtId="0" fontId="65" fillId="41" borderId="17" xfId="1148" applyFont="1" applyFill="1" applyBorder="1" applyAlignment="1">
      <alignment vertical="center"/>
    </xf>
    <xf numFmtId="168" fontId="16" fillId="41" borderId="10" xfId="1149" applyNumberFormat="1" applyFont="1" applyFill="1" applyBorder="1" applyAlignment="1">
      <alignment horizontal="center" vertical="center"/>
    </xf>
    <xf numFmtId="0" fontId="63" fillId="41" borderId="22" xfId="1148" applyFont="1" applyFill="1" applyBorder="1" applyAlignment="1">
      <alignment horizontal="center" vertical="center"/>
    </xf>
    <xf numFmtId="1" fontId="61" fillId="38" borderId="0" xfId="1149" applyNumberFormat="1" applyFont="1" applyFill="1"/>
    <xf numFmtId="1" fontId="61" fillId="38" borderId="10" xfId="1148" applyNumberFormat="1" applyFont="1" applyFill="1" applyBorder="1"/>
    <xf numFmtId="0" fontId="55" fillId="0" borderId="0" xfId="0" applyFont="1" applyAlignment="1">
      <alignment horizontal="center" vertical="center" wrapText="1"/>
    </xf>
    <xf numFmtId="1" fontId="16" fillId="37" borderId="24" xfId="0" applyNumberFormat="1" applyFont="1" applyFill="1" applyBorder="1" applyAlignment="1">
      <alignment horizontal="center" vertical="center" wrapText="1"/>
    </xf>
    <xf numFmtId="0" fontId="65" fillId="0" borderId="10" xfId="0" applyFont="1" applyBorder="1" applyAlignment="1">
      <alignment vertical="center" wrapText="1"/>
    </xf>
    <xf numFmtId="0" fontId="15" fillId="0" borderId="49" xfId="0" applyFont="1" applyBorder="1" applyAlignment="1">
      <alignment horizontal="center" vertical="center"/>
    </xf>
    <xf numFmtId="165" fontId="15" fillId="0" borderId="41" xfId="0" applyNumberFormat="1" applyFont="1" applyBorder="1" applyAlignment="1">
      <alignment horizontal="center" vertical="center"/>
    </xf>
    <xf numFmtId="0" fontId="15" fillId="0" borderId="41" xfId="0" applyFont="1" applyBorder="1" applyAlignment="1">
      <alignment horizontal="center" vertical="center" wrapText="1"/>
    </xf>
    <xf numFmtId="0" fontId="15" fillId="0" borderId="41" xfId="0" applyFont="1" applyBorder="1" applyAlignment="1">
      <alignment vertical="center" wrapText="1"/>
    </xf>
    <xf numFmtId="0" fontId="12" fillId="0" borderId="27" xfId="107"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0" xfId="107" applyBorder="1" applyAlignment="1" applyProtection="1">
      <alignment horizontal="center" vertical="center" wrapText="1"/>
      <protection locked="0"/>
    </xf>
    <xf numFmtId="0" fontId="12" fillId="0" borderId="30" xfId="107" applyBorder="1" applyAlignment="1" applyProtection="1">
      <alignment horizontal="center" vertical="center" wrapText="1"/>
      <protection locked="0"/>
    </xf>
    <xf numFmtId="0" fontId="12" fillId="0" borderId="41" xfId="107" applyBorder="1" applyAlignment="1" applyProtection="1">
      <alignment horizontal="center" vertical="center" wrapText="1"/>
      <protection locked="0"/>
    </xf>
    <xf numFmtId="0" fontId="12" fillId="0" borderId="10" xfId="107" applyBorder="1" applyAlignment="1" applyProtection="1">
      <alignment horizontal="left" vertical="center" wrapText="1"/>
      <protection locked="0"/>
    </xf>
    <xf numFmtId="0" fontId="12" fillId="0" borderId="40" xfId="107" applyBorder="1" applyAlignment="1" applyProtection="1">
      <alignment horizontal="center" vertical="center" wrapText="1"/>
      <protection locked="0"/>
    </xf>
    <xf numFmtId="0" fontId="12" fillId="37" borderId="31" xfId="71" applyFont="1" applyFill="1" applyBorder="1" applyAlignment="1" applyProtection="1">
      <alignment horizontal="center" vertical="center" wrapText="1"/>
      <protection locked="0"/>
    </xf>
    <xf numFmtId="0" fontId="12" fillId="0" borderId="46" xfId="107" applyBorder="1" applyAlignment="1" applyProtection="1">
      <alignment horizontal="center" vertical="center" wrapText="1"/>
      <protection locked="0"/>
    </xf>
    <xf numFmtId="0" fontId="12" fillId="0" borderId="11" xfId="1153" applyBorder="1" applyAlignment="1">
      <alignment vertical="center" wrapText="1"/>
    </xf>
    <xf numFmtId="0" fontId="12" fillId="0" borderId="10" xfId="107" applyBorder="1" applyAlignment="1" applyProtection="1">
      <alignment vertical="center" wrapText="1"/>
      <protection locked="0"/>
    </xf>
    <xf numFmtId="0" fontId="62" fillId="0" borderId="10" xfId="0" applyFont="1" applyBorder="1" applyAlignment="1">
      <alignment wrapText="1"/>
    </xf>
    <xf numFmtId="0" fontId="62" fillId="0" borderId="0" xfId="0" applyFont="1" applyAlignment="1">
      <alignment wrapText="1"/>
    </xf>
    <xf numFmtId="0" fontId="12" fillId="0" borderId="17" xfId="109" applyFont="1" applyBorder="1" applyAlignment="1" applyProtection="1">
      <alignment horizontal="center" vertical="center"/>
      <protection locked="0"/>
    </xf>
    <xf numFmtId="0" fontId="12" fillId="0" borderId="89" xfId="107" applyBorder="1" applyAlignment="1" applyProtection="1">
      <alignment horizontal="center" vertical="center" wrapText="1"/>
      <protection locked="0"/>
    </xf>
    <xf numFmtId="0" fontId="12" fillId="0" borderId="49" xfId="107" applyBorder="1" applyAlignment="1" applyProtection="1">
      <alignment horizontal="center" vertical="center" wrapText="1"/>
      <protection locked="0"/>
    </xf>
    <xf numFmtId="0" fontId="12" fillId="0" borderId="17" xfId="107" applyBorder="1" applyAlignment="1" applyProtection="1">
      <alignment horizontal="center" vertical="center" wrapText="1"/>
      <protection locked="0"/>
    </xf>
    <xf numFmtId="0" fontId="12" fillId="0" borderId="70" xfId="107" applyBorder="1" applyAlignment="1" applyProtection="1">
      <alignment horizontal="center" vertical="center" wrapText="1"/>
      <protection locked="0"/>
    </xf>
    <xf numFmtId="0" fontId="12" fillId="0" borderId="56" xfId="107" applyBorder="1" applyAlignment="1" applyProtection="1">
      <alignment horizontal="center" vertical="center" wrapText="1"/>
      <protection locked="0"/>
    </xf>
    <xf numFmtId="0" fontId="12" fillId="0" borderId="55" xfId="107" applyBorder="1" applyAlignment="1" applyProtection="1">
      <alignment horizontal="center" vertical="center" wrapText="1"/>
      <protection locked="0"/>
    </xf>
    <xf numFmtId="0" fontId="15" fillId="0" borderId="46" xfId="1153" applyFont="1" applyBorder="1" applyAlignment="1">
      <alignment vertical="center" wrapText="1"/>
    </xf>
    <xf numFmtId="0" fontId="12" fillId="0" borderId="10" xfId="1153" applyBorder="1" applyAlignment="1" applyProtection="1">
      <alignment horizontal="center" vertical="center" wrapText="1"/>
      <protection locked="0"/>
    </xf>
    <xf numFmtId="166" fontId="46" fillId="37" borderId="65"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2" fillId="0" borderId="89" xfId="1153" applyBorder="1" applyAlignment="1">
      <alignment horizontal="left" vertical="center" wrapText="1"/>
    </xf>
    <xf numFmtId="0" fontId="68" fillId="26" borderId="95" xfId="145" applyFont="1" applyFill="1" applyBorder="1" applyAlignment="1">
      <alignment vertical="center"/>
    </xf>
    <xf numFmtId="0" fontId="68" fillId="26" borderId="98" xfId="145" applyFont="1" applyFill="1" applyBorder="1" applyAlignment="1">
      <alignment vertical="center"/>
    </xf>
    <xf numFmtId="0" fontId="65" fillId="36" borderId="93" xfId="108" applyFont="1" applyFill="1" applyBorder="1" applyAlignment="1">
      <alignment vertical="center"/>
    </xf>
    <xf numFmtId="0" fontId="65" fillId="36" borderId="46" xfId="108" applyFont="1" applyFill="1" applyBorder="1" applyAlignment="1">
      <alignment vertical="center"/>
    </xf>
    <xf numFmtId="0" fontId="51" fillId="26" borderId="95" xfId="107" applyFont="1" applyFill="1" applyBorder="1" applyAlignment="1">
      <alignment vertical="center" wrapText="1"/>
    </xf>
    <xf numFmtId="0" fontId="51" fillId="26" borderId="98" xfId="107" applyFont="1" applyFill="1" applyBorder="1" applyAlignment="1">
      <alignment vertical="center" wrapText="1"/>
    </xf>
    <xf numFmtId="0" fontId="68" fillId="26" borderId="29" xfId="145" applyFont="1" applyFill="1" applyBorder="1" applyAlignment="1">
      <alignment horizontal="left" vertical="center"/>
    </xf>
    <xf numFmtId="0" fontId="52" fillId="26" borderId="98" xfId="0" applyFont="1" applyFill="1" applyBorder="1" applyAlignment="1">
      <alignment horizontal="left" vertical="center"/>
    </xf>
    <xf numFmtId="0" fontId="61" fillId="0" borderId="10" xfId="145" applyFont="1" applyBorder="1" applyAlignment="1" applyProtection="1">
      <alignment horizontal="center" vertical="center"/>
      <protection locked="0"/>
    </xf>
    <xf numFmtId="0" fontId="12" fillId="0" borderId="10" xfId="145" applyFont="1" applyBorder="1" applyAlignment="1" applyProtection="1">
      <alignment horizontal="center" vertical="center" wrapText="1"/>
      <protection locked="0"/>
    </xf>
    <xf numFmtId="0" fontId="12" fillId="0" borderId="10" xfId="145" applyFont="1" applyBorder="1" applyAlignment="1" applyProtection="1">
      <alignment horizontal="center" vertical="center"/>
      <protection locked="0"/>
    </xf>
    <xf numFmtId="0" fontId="13" fillId="0" borderId="25" xfId="0" applyFont="1" applyBorder="1" applyAlignment="1">
      <alignment vertical="center" wrapText="1"/>
    </xf>
    <xf numFmtId="0" fontId="47" fillId="0" borderId="12" xfId="0" applyFont="1" applyBorder="1" applyAlignment="1" applyProtection="1">
      <alignment vertical="center"/>
      <protection locked="0"/>
    </xf>
    <xf numFmtId="166" fontId="46" fillId="33" borderId="118" xfId="0" applyNumberFormat="1" applyFont="1" applyFill="1" applyBorder="1" applyAlignment="1">
      <alignment horizontal="center" vertical="center" wrapText="1"/>
    </xf>
    <xf numFmtId="1" fontId="46" fillId="33" borderId="119" xfId="0" applyNumberFormat="1" applyFont="1" applyFill="1" applyBorder="1" applyAlignment="1">
      <alignment horizontal="center" vertical="center" wrapText="1"/>
    </xf>
    <xf numFmtId="167" fontId="15" fillId="0" borderId="11" xfId="86" applyNumberFormat="1" applyFont="1" applyBorder="1" applyAlignment="1" applyProtection="1">
      <alignment horizontal="center" vertical="center" wrapText="1"/>
    </xf>
    <xf numFmtId="167" fontId="15" fillId="0" borderId="75" xfId="86" applyNumberFormat="1" applyFont="1" applyBorder="1" applyAlignment="1" applyProtection="1">
      <alignment horizontal="center" vertical="center" wrapText="1"/>
    </xf>
    <xf numFmtId="1" fontId="46" fillId="31" borderId="119" xfId="107" applyNumberFormat="1" applyFont="1" applyFill="1" applyBorder="1" applyAlignment="1">
      <alignment horizontal="center" vertical="center"/>
    </xf>
    <xf numFmtId="1" fontId="16" fillId="26" borderId="50" xfId="0" applyNumberFormat="1" applyFont="1" applyFill="1" applyBorder="1" applyAlignment="1">
      <alignment horizontal="center" vertical="center" wrapText="1"/>
    </xf>
    <xf numFmtId="0" fontId="16" fillId="29" borderId="22" xfId="71" applyFont="1" applyFill="1" applyBorder="1" applyAlignment="1" applyProtection="1">
      <alignment horizontal="center" vertical="center"/>
      <protection locked="0"/>
    </xf>
    <xf numFmtId="0" fontId="15" fillId="0" borderId="37" xfId="0" applyFont="1" applyBorder="1" applyAlignment="1">
      <alignment horizontal="center" vertical="center"/>
    </xf>
    <xf numFmtId="0" fontId="15" fillId="0" borderId="37" xfId="0" applyFont="1" applyBorder="1" applyAlignment="1">
      <alignment vertical="center"/>
    </xf>
    <xf numFmtId="0" fontId="12" fillId="29" borderId="20" xfId="71" applyFont="1" applyFill="1" applyBorder="1" applyAlignment="1" applyProtection="1">
      <alignment horizontal="center" vertical="center"/>
      <protection locked="0"/>
    </xf>
    <xf numFmtId="0" fontId="12" fillId="0" borderId="17" xfId="107" applyBorder="1" applyAlignment="1">
      <alignment horizontal="center" vertical="center"/>
    </xf>
    <xf numFmtId="0" fontId="15" fillId="0" borderId="89" xfId="107" applyFont="1" applyBorder="1" applyAlignment="1">
      <alignment vertical="center" wrapText="1"/>
    </xf>
    <xf numFmtId="0" fontId="12" fillId="0" borderId="126" xfId="107" applyBorder="1" applyAlignment="1">
      <alignment vertical="center" wrapText="1"/>
    </xf>
    <xf numFmtId="0" fontId="62" fillId="0" borderId="0" xfId="0" applyFont="1" applyAlignment="1">
      <alignment vertical="center" wrapText="1"/>
    </xf>
    <xf numFmtId="0" fontId="12" fillId="42" borderId="40" xfId="107" applyFill="1" applyBorder="1" applyAlignment="1">
      <alignment horizontal="center" vertical="center" wrapText="1"/>
    </xf>
    <xf numFmtId="0" fontId="12" fillId="42" borderId="53" xfId="107" applyFill="1" applyBorder="1" applyAlignment="1">
      <alignment horizontal="center" vertical="center" wrapText="1"/>
    </xf>
    <xf numFmtId="0" fontId="12" fillId="42" borderId="0" xfId="107" applyFill="1" applyAlignment="1">
      <alignment horizontal="center" vertical="center" wrapText="1"/>
    </xf>
    <xf numFmtId="0" fontId="12" fillId="0" borderId="27" xfId="107" applyBorder="1" applyAlignment="1" applyProtection="1">
      <alignment horizontal="left" vertical="center" wrapText="1"/>
      <protection locked="0"/>
    </xf>
    <xf numFmtId="0" fontId="15" fillId="0" borderId="0" xfId="1153" applyFont="1" applyAlignment="1">
      <alignment horizontal="left" vertical="center" wrapText="1"/>
    </xf>
    <xf numFmtId="0" fontId="15" fillId="28" borderId="64" xfId="1153" applyFont="1" applyFill="1" applyBorder="1" applyAlignment="1">
      <alignment horizontal="center" vertical="center" wrapText="1"/>
    </xf>
    <xf numFmtId="0" fontId="12" fillId="29" borderId="72" xfId="1153" applyFont="1" applyFill="1" applyBorder="1" applyAlignment="1">
      <alignment horizontal="center" vertical="center" wrapText="1"/>
    </xf>
    <xf numFmtId="0" fontId="15" fillId="28" borderId="95" xfId="1153" applyFont="1" applyFill="1" applyBorder="1" applyAlignment="1">
      <alignment horizontal="center" vertical="center" wrapText="1"/>
    </xf>
    <xf numFmtId="0" fontId="12" fillId="29" borderId="24" xfId="1153" applyFont="1" applyFill="1" applyBorder="1" applyAlignment="1">
      <alignment horizontal="center" vertical="center" wrapText="1"/>
    </xf>
    <xf numFmtId="0" fontId="15" fillId="28" borderId="12" xfId="1153" applyFont="1" applyFill="1" applyBorder="1" applyAlignment="1">
      <alignment horizontal="center" vertical="center" wrapText="1"/>
    </xf>
    <xf numFmtId="9" fontId="15" fillId="26" borderId="54" xfId="1153" applyNumberFormat="1" applyFont="1" applyFill="1" applyBorder="1" applyAlignment="1">
      <alignment horizontal="center" vertical="center" wrapText="1"/>
    </xf>
    <xf numFmtId="0" fontId="12" fillId="0" borderId="0" xfId="107" applyBorder="1"/>
    <xf numFmtId="168" fontId="83" fillId="29" borderId="31" xfId="71" applyNumberFormat="1" applyFont="1" applyFill="1" applyBorder="1" applyAlignment="1" applyProtection="1">
      <alignment horizontal="center" vertical="center"/>
      <protection locked="0"/>
    </xf>
    <xf numFmtId="1" fontId="16" fillId="40" borderId="10" xfId="1152" applyNumberFormat="1" applyFont="1" applyFill="1" applyBorder="1" applyAlignment="1">
      <alignment horizontal="center" vertical="center"/>
    </xf>
    <xf numFmtId="0" fontId="97" fillId="40" borderId="22" xfId="1151" applyFont="1" applyFill="1" applyBorder="1" applyAlignment="1">
      <alignment horizontal="center" vertical="center"/>
    </xf>
    <xf numFmtId="0" fontId="16" fillId="26" borderId="12" xfId="107" applyFont="1" applyFill="1" applyBorder="1" applyAlignment="1">
      <alignment vertical="center"/>
    </xf>
    <xf numFmtId="1" fontId="16" fillId="26" borderId="32" xfId="107" applyNumberFormat="1" applyFont="1" applyFill="1" applyBorder="1" applyAlignment="1">
      <alignment horizontal="center" vertical="center"/>
    </xf>
    <xf numFmtId="0" fontId="16" fillId="26" borderId="99" xfId="107" applyFont="1" applyFill="1" applyBorder="1" applyAlignment="1">
      <alignment vertical="center"/>
    </xf>
    <xf numFmtId="1" fontId="16" fillId="26" borderId="12" xfId="107" applyNumberFormat="1" applyFont="1" applyFill="1" applyBorder="1" applyAlignment="1">
      <alignment horizontal="center" vertical="center"/>
    </xf>
    <xf numFmtId="1" fontId="16" fillId="26" borderId="13" xfId="107" applyNumberFormat="1" applyFont="1" applyFill="1" applyBorder="1" applyAlignment="1">
      <alignment horizontal="center" vertical="center"/>
    </xf>
    <xf numFmtId="0" fontId="15" fillId="36" borderId="48" xfId="107" applyFont="1" applyFill="1" applyBorder="1" applyAlignment="1">
      <alignment vertical="center" wrapText="1"/>
    </xf>
    <xf numFmtId="0" fontId="15" fillId="36" borderId="17" xfId="107" applyFont="1" applyFill="1" applyBorder="1" applyAlignment="1">
      <alignment vertical="center" wrapText="1"/>
    </xf>
    <xf numFmtId="0" fontId="12" fillId="27" borderId="11" xfId="107" applyFill="1" applyBorder="1" applyAlignment="1">
      <alignment vertical="center" wrapText="1"/>
    </xf>
    <xf numFmtId="0" fontId="12" fillId="27" borderId="46" xfId="107" applyFill="1" applyBorder="1" applyAlignment="1">
      <alignment vertical="center" wrapText="1"/>
    </xf>
    <xf numFmtId="0" fontId="12" fillId="27" borderId="28" xfId="107" applyFill="1" applyBorder="1" applyAlignment="1">
      <alignment horizontal="center" vertical="center" wrapText="1"/>
    </xf>
    <xf numFmtId="0" fontId="12" fillId="27" borderId="11" xfId="107" applyFill="1" applyBorder="1" applyAlignment="1">
      <alignment horizontal="center" vertical="center" wrapText="1"/>
    </xf>
    <xf numFmtId="0" fontId="12" fillId="38" borderId="31" xfId="71" applyFont="1" applyFill="1" applyBorder="1" applyAlignment="1" applyProtection="1">
      <alignment horizontal="center" vertical="center" wrapText="1"/>
      <protection locked="0"/>
    </xf>
    <xf numFmtId="0" fontId="12" fillId="38" borderId="20" xfId="71" applyFont="1" applyFill="1" applyBorder="1" applyAlignment="1" applyProtection="1">
      <alignment horizontal="center" vertical="center" wrapText="1"/>
      <protection locked="0"/>
    </xf>
    <xf numFmtId="0" fontId="12" fillId="27" borderId="10" xfId="107" applyFill="1" applyBorder="1" applyAlignment="1">
      <alignment vertical="center" wrapText="1"/>
    </xf>
    <xf numFmtId="0" fontId="12" fillId="27" borderId="22" xfId="107" applyFill="1" applyBorder="1" applyAlignment="1">
      <alignment horizontal="center" vertical="center" wrapText="1"/>
    </xf>
    <xf numFmtId="0" fontId="46" fillId="31" borderId="90" xfId="0" applyFont="1" applyFill="1" applyBorder="1" applyAlignment="1">
      <alignment horizontal="left" vertical="center" wrapText="1"/>
    </xf>
    <xf numFmtId="0" fontId="46" fillId="31" borderId="100" xfId="0" applyFont="1" applyFill="1" applyBorder="1" applyAlignment="1">
      <alignment horizontal="left" vertical="center" wrapText="1"/>
    </xf>
    <xf numFmtId="0" fontId="46" fillId="35" borderId="39" xfId="0" applyFont="1" applyFill="1" applyBorder="1" applyAlignment="1">
      <alignment horizontal="left" vertical="center" wrapText="1"/>
    </xf>
    <xf numFmtId="0" fontId="46" fillId="35" borderId="101" xfId="0" applyFont="1" applyFill="1" applyBorder="1" applyAlignment="1">
      <alignment horizontal="left" vertical="center" wrapText="1"/>
    </xf>
    <xf numFmtId="0" fontId="15" fillId="0" borderId="0" xfId="0" applyFont="1" applyAlignment="1">
      <alignment horizontal="left" wrapText="1"/>
    </xf>
    <xf numFmtId="0" fontId="52" fillId="0" borderId="28" xfId="0" applyFont="1" applyBorder="1" applyAlignment="1">
      <alignment horizontal="left" wrapText="1"/>
    </xf>
    <xf numFmtId="0" fontId="52" fillId="0" borderId="70" xfId="0" applyFont="1" applyBorder="1" applyAlignment="1">
      <alignment horizontal="left"/>
    </xf>
    <xf numFmtId="0" fontId="52" fillId="0" borderId="53" xfId="0" applyFont="1" applyBorder="1" applyAlignment="1">
      <alignment horizontal="left"/>
    </xf>
    <xf numFmtId="0" fontId="52" fillId="0" borderId="55" xfId="0" applyFont="1" applyBorder="1" applyAlignment="1">
      <alignment horizontal="left"/>
    </xf>
    <xf numFmtId="0" fontId="52" fillId="0" borderId="75" xfId="0" applyFont="1" applyBorder="1" applyAlignment="1">
      <alignment horizontal="left"/>
    </xf>
    <xf numFmtId="0" fontId="52" fillId="0" borderId="56" xfId="0" applyFont="1" applyBorder="1" applyAlignment="1">
      <alignment horizontal="left"/>
    </xf>
    <xf numFmtId="1" fontId="16" fillId="37" borderId="96" xfId="0" applyNumberFormat="1" applyFont="1" applyFill="1" applyBorder="1" applyAlignment="1">
      <alignment horizontal="center" vertical="center" wrapText="1"/>
    </xf>
    <xf numFmtId="1" fontId="16" fillId="37" borderId="92" xfId="0" applyNumberFormat="1" applyFont="1" applyFill="1" applyBorder="1" applyAlignment="1">
      <alignment horizontal="center" vertical="center" wrapText="1"/>
    </xf>
    <xf numFmtId="0" fontId="12" fillId="37" borderId="92" xfId="0" applyFont="1" applyFill="1" applyBorder="1" applyAlignment="1">
      <alignment horizontal="center" vertical="center" wrapText="1"/>
    </xf>
    <xf numFmtId="0" fontId="21" fillId="27" borderId="39" xfId="0" applyFont="1" applyFill="1" applyBorder="1" applyAlignment="1">
      <alignment horizontal="center" vertical="center" wrapText="1"/>
    </xf>
    <xf numFmtId="0" fontId="21" fillId="27" borderId="47" xfId="0" applyFont="1" applyFill="1" applyBorder="1" applyAlignment="1">
      <alignment horizontal="center" vertical="center" wrapText="1"/>
    </xf>
    <xf numFmtId="0" fontId="21" fillId="27" borderId="54" xfId="0" applyFont="1" applyFill="1" applyBorder="1" applyAlignment="1">
      <alignment horizontal="center" vertical="center" wrapText="1"/>
    </xf>
    <xf numFmtId="0" fontId="55" fillId="36" borderId="33" xfId="0" applyFont="1" applyFill="1" applyBorder="1" applyAlignment="1">
      <alignment horizontal="center" vertical="center"/>
    </xf>
    <xf numFmtId="0" fontId="55" fillId="36" borderId="106" xfId="0" applyFont="1" applyFill="1" applyBorder="1" applyAlignment="1">
      <alignment horizontal="center" vertical="center"/>
    </xf>
    <xf numFmtId="0" fontId="0" fillId="36" borderId="53" xfId="0" applyFill="1" applyBorder="1" applyAlignment="1">
      <alignment vertical="center"/>
    </xf>
    <xf numFmtId="0" fontId="0" fillId="36" borderId="55" xfId="0" applyFill="1" applyBorder="1" applyAlignment="1">
      <alignment vertical="center"/>
    </xf>
    <xf numFmtId="0" fontId="95" fillId="36" borderId="33" xfId="0" applyFont="1" applyFill="1" applyBorder="1" applyAlignment="1">
      <alignment horizontal="center" wrapText="1"/>
    </xf>
    <xf numFmtId="0" fontId="95" fillId="36" borderId="36" xfId="0" applyFont="1" applyFill="1" applyBorder="1" applyAlignment="1">
      <alignment horizontal="center" wrapText="1"/>
    </xf>
    <xf numFmtId="0" fontId="62" fillId="36" borderId="53" xfId="0" applyFont="1" applyFill="1" applyBorder="1" applyAlignment="1">
      <alignment horizontal="center" wrapText="1"/>
    </xf>
    <xf numFmtId="0" fontId="62" fillId="36" borderId="0" xfId="0" applyFont="1" applyFill="1" applyAlignment="1">
      <alignment horizontal="center" wrapText="1"/>
    </xf>
    <xf numFmtId="0" fontId="95" fillId="36" borderId="106" xfId="0" applyFont="1" applyFill="1" applyBorder="1" applyAlignment="1">
      <alignment horizontal="center" wrapText="1"/>
    </xf>
    <xf numFmtId="0" fontId="62" fillId="36" borderId="53" xfId="0" applyFont="1" applyFill="1" applyBorder="1" applyAlignment="1">
      <alignment wrapText="1"/>
    </xf>
    <xf numFmtId="0" fontId="62" fillId="36" borderId="55" xfId="0" applyFont="1" applyFill="1" applyBorder="1" applyAlignment="1">
      <alignment wrapText="1"/>
    </xf>
    <xf numFmtId="0" fontId="55" fillId="36" borderId="33" xfId="0" applyFont="1" applyFill="1" applyBorder="1" applyAlignment="1">
      <alignment horizontal="center" vertical="center" wrapText="1"/>
    </xf>
    <xf numFmtId="0" fontId="55" fillId="36" borderId="106" xfId="0" applyFont="1" applyFill="1" applyBorder="1" applyAlignment="1">
      <alignment horizontal="center" vertical="center" wrapText="1"/>
    </xf>
    <xf numFmtId="0" fontId="0" fillId="36" borderId="53" xfId="0" applyFill="1" applyBorder="1" applyAlignment="1">
      <alignment vertical="center" wrapText="1"/>
    </xf>
    <xf numFmtId="0" fontId="0" fillId="36" borderId="55" xfId="0" applyFill="1" applyBorder="1" applyAlignment="1">
      <alignment vertical="center" wrapText="1"/>
    </xf>
    <xf numFmtId="0" fontId="15" fillId="0" borderId="76" xfId="0" applyFont="1" applyBorder="1" applyAlignment="1">
      <alignment horizontal="center" vertical="center" wrapText="1"/>
    </xf>
    <xf numFmtId="0" fontId="15" fillId="0" borderId="44" xfId="0" applyFont="1" applyBorder="1" applyAlignment="1">
      <alignment horizontal="center" vertical="center" wrapText="1"/>
    </xf>
    <xf numFmtId="167" fontId="15" fillId="0" borderId="48" xfId="86" applyNumberFormat="1" applyFont="1" applyFill="1" applyBorder="1" applyAlignment="1" applyProtection="1">
      <alignment horizontal="center" vertical="center" wrapText="1"/>
    </xf>
    <xf numFmtId="0" fontId="12" fillId="0" borderId="78" xfId="0" applyFont="1" applyBorder="1" applyAlignment="1">
      <alignment horizontal="center" vertical="center" wrapText="1"/>
    </xf>
    <xf numFmtId="167" fontId="15" fillId="0" borderId="25" xfId="86" applyNumberFormat="1" applyFont="1" applyFill="1" applyBorder="1" applyAlignment="1" applyProtection="1">
      <alignment horizontal="center" vertical="center" wrapText="1"/>
    </xf>
    <xf numFmtId="0" fontId="12" fillId="0" borderId="14" xfId="0" applyFont="1" applyBorder="1" applyAlignment="1">
      <alignment horizontal="center" vertical="center" wrapText="1"/>
    </xf>
    <xf numFmtId="0" fontId="12" fillId="0" borderId="25" xfId="0" applyFont="1" applyBorder="1" applyAlignment="1">
      <alignment horizontal="center" vertical="center" wrapText="1"/>
    </xf>
    <xf numFmtId="166" fontId="12" fillId="0" borderId="82" xfId="0" applyNumberFormat="1" applyFont="1" applyBorder="1" applyAlignment="1">
      <alignment horizontal="center" vertical="center" wrapText="1"/>
    </xf>
    <xf numFmtId="166" fontId="12" fillId="0" borderId="83" xfId="0" applyNumberFormat="1" applyFont="1" applyBorder="1" applyAlignment="1">
      <alignment horizontal="center" vertical="center" wrapText="1"/>
    </xf>
    <xf numFmtId="166" fontId="12" fillId="0" borderId="84" xfId="0" applyNumberFormat="1" applyFont="1" applyBorder="1" applyAlignment="1">
      <alignment horizontal="center" vertical="center" wrapText="1"/>
    </xf>
    <xf numFmtId="166" fontId="12" fillId="0" borderId="85" xfId="0" applyNumberFormat="1" applyFont="1" applyBorder="1" applyAlignment="1">
      <alignment horizontal="center" vertical="center" wrapText="1"/>
    </xf>
    <xf numFmtId="166" fontId="12" fillId="0" borderId="116" xfId="0" applyNumberFormat="1" applyFont="1" applyBorder="1" applyAlignment="1">
      <alignment horizontal="center" vertical="center" wrapText="1"/>
    </xf>
    <xf numFmtId="166" fontId="12" fillId="0" borderId="117" xfId="0" applyNumberFormat="1" applyFont="1" applyBorder="1" applyAlignment="1">
      <alignment horizontal="center" vertical="center" wrapText="1"/>
    </xf>
    <xf numFmtId="167" fontId="15" fillId="0" borderId="48" xfId="94" applyNumberFormat="1" applyFont="1" applyFill="1" applyBorder="1" applyAlignment="1" applyProtection="1">
      <alignment horizontal="center" vertical="center" wrapText="1"/>
    </xf>
    <xf numFmtId="167" fontId="15" fillId="0" borderId="25" xfId="94" applyNumberFormat="1" applyFont="1" applyFill="1" applyBorder="1" applyAlignment="1" applyProtection="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0" xfId="0" applyFont="1" applyAlignment="1">
      <alignment horizontal="center" vertical="center" wrapText="1"/>
    </xf>
    <xf numFmtId="0" fontId="15" fillId="0" borderId="69"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3" xfId="0" applyFont="1" applyBorder="1" applyAlignment="1">
      <alignment horizontal="center" vertical="center" wrapText="1"/>
    </xf>
    <xf numFmtId="1" fontId="22" fillId="0" borderId="39" xfId="0" applyNumberFormat="1" applyFont="1" applyBorder="1" applyAlignment="1">
      <alignment horizontal="center" vertical="center"/>
    </xf>
    <xf numFmtId="1" fontId="22" fillId="0" borderId="54" xfId="0" applyNumberFormat="1" applyFont="1" applyBorder="1" applyAlignment="1">
      <alignment horizontal="center" vertical="center"/>
    </xf>
    <xf numFmtId="165" fontId="22" fillId="0" borderId="39" xfId="0" applyNumberFormat="1" applyFont="1" applyBorder="1" applyAlignment="1" applyProtection="1">
      <alignment horizontal="center" vertical="center"/>
      <protection locked="0"/>
    </xf>
    <xf numFmtId="165" fontId="22" fillId="0" borderId="47" xfId="0" applyNumberFormat="1" applyFont="1" applyBorder="1" applyAlignment="1" applyProtection="1">
      <alignment horizontal="center" vertical="center"/>
      <protection locked="0"/>
    </xf>
    <xf numFmtId="165" fontId="22" fillId="0" borderId="54" xfId="0" applyNumberFormat="1" applyFont="1" applyBorder="1" applyAlignment="1" applyProtection="1">
      <alignment horizontal="center" vertical="center"/>
      <protection locked="0"/>
    </xf>
    <xf numFmtId="0" fontId="55" fillId="0" borderId="36" xfId="0" applyFont="1" applyBorder="1" applyAlignment="1">
      <alignment horizontal="center" vertical="center"/>
    </xf>
    <xf numFmtId="0" fontId="22" fillId="0" borderId="35" xfId="0" applyFont="1" applyBorder="1" applyAlignment="1">
      <alignment horizontal="right" vertical="top"/>
    </xf>
    <xf numFmtId="0" fontId="75" fillId="0" borderId="114" xfId="0" applyFont="1" applyBorder="1" applyAlignment="1">
      <alignment horizontal="right" vertical="top"/>
    </xf>
    <xf numFmtId="166" fontId="15" fillId="0" borderId="82" xfId="0" applyNumberFormat="1" applyFont="1" applyBorder="1" applyAlignment="1">
      <alignment horizontal="center" vertical="center" wrapText="1"/>
    </xf>
    <xf numFmtId="166" fontId="15" fillId="0" borderId="83" xfId="0" applyNumberFormat="1" applyFont="1" applyBorder="1" applyAlignment="1">
      <alignment horizontal="center" vertical="center" wrapText="1"/>
    </xf>
    <xf numFmtId="166" fontId="15" fillId="0" borderId="84" xfId="0" applyNumberFormat="1" applyFont="1" applyBorder="1" applyAlignment="1">
      <alignment horizontal="center" vertical="center" wrapText="1"/>
    </xf>
    <xf numFmtId="166" fontId="15" fillId="0" borderId="85" xfId="0" applyNumberFormat="1" applyFont="1" applyBorder="1" applyAlignment="1">
      <alignment horizontal="center" vertical="center" wrapText="1"/>
    </xf>
    <xf numFmtId="166" fontId="15" fillId="0" borderId="86" xfId="0" applyNumberFormat="1" applyFont="1" applyBorder="1" applyAlignment="1">
      <alignment horizontal="center" vertical="center" wrapText="1"/>
    </xf>
    <xf numFmtId="166" fontId="15" fillId="0" borderId="87" xfId="0" applyNumberFormat="1" applyFont="1" applyBorder="1" applyAlignment="1">
      <alignment horizontal="center" vertical="center" wrapText="1"/>
    </xf>
    <xf numFmtId="166" fontId="16" fillId="0" borderId="82" xfId="0" applyNumberFormat="1" applyFont="1" applyBorder="1" applyAlignment="1">
      <alignment horizontal="center" vertical="center" wrapText="1"/>
    </xf>
    <xf numFmtId="166" fontId="16" fillId="0" borderId="83" xfId="0" applyNumberFormat="1" applyFont="1" applyBorder="1" applyAlignment="1">
      <alignment horizontal="center" vertical="center" wrapText="1"/>
    </xf>
    <xf numFmtId="166" fontId="16" fillId="0" borderId="84" xfId="0" applyNumberFormat="1" applyFont="1" applyBorder="1" applyAlignment="1">
      <alignment horizontal="center" vertical="center" wrapText="1"/>
    </xf>
    <xf numFmtId="166" fontId="16" fillId="0" borderId="85" xfId="0" applyNumberFormat="1" applyFont="1" applyBorder="1" applyAlignment="1">
      <alignment horizontal="center" vertical="center" wrapText="1"/>
    </xf>
    <xf numFmtId="166" fontId="16" fillId="0" borderId="120" xfId="0" applyNumberFormat="1" applyFont="1" applyBorder="1" applyAlignment="1">
      <alignment horizontal="center" vertical="center" wrapText="1"/>
    </xf>
    <xf numFmtId="166" fontId="16" fillId="0" borderId="121" xfId="0" applyNumberFormat="1" applyFont="1" applyBorder="1" applyAlignment="1">
      <alignment horizontal="center" vertical="center" wrapText="1"/>
    </xf>
    <xf numFmtId="166" fontId="16" fillId="0" borderId="122" xfId="0" applyNumberFormat="1" applyFont="1" applyBorder="1" applyAlignment="1">
      <alignment horizontal="center" vertical="center" wrapText="1"/>
    </xf>
    <xf numFmtId="166" fontId="16" fillId="0" borderId="123" xfId="0" applyNumberFormat="1" applyFont="1" applyBorder="1" applyAlignment="1">
      <alignment horizontal="center" vertical="center" wrapText="1"/>
    </xf>
    <xf numFmtId="166" fontId="16" fillId="0" borderId="124" xfId="0" applyNumberFormat="1" applyFont="1" applyBorder="1" applyAlignment="1">
      <alignment horizontal="center" vertical="center" wrapText="1"/>
    </xf>
    <xf numFmtId="166" fontId="16" fillId="0" borderId="125" xfId="0" applyNumberFormat="1" applyFont="1" applyBorder="1" applyAlignment="1">
      <alignment horizontal="center" vertical="center" wrapText="1"/>
    </xf>
    <xf numFmtId="0" fontId="15" fillId="0" borderId="0" xfId="0" applyFont="1" applyAlignment="1" applyProtection="1">
      <alignment textRotation="90" wrapText="1"/>
      <protection locked="0"/>
    </xf>
    <xf numFmtId="0" fontId="0" fillId="0" borderId="0" xfId="0" applyAlignment="1" applyProtection="1">
      <alignment textRotation="90" wrapText="1"/>
      <protection locked="0"/>
    </xf>
    <xf numFmtId="0" fontId="0" fillId="0" borderId="0" xfId="0" applyProtection="1">
      <protection locked="0"/>
    </xf>
    <xf numFmtId="0" fontId="0" fillId="0" borderId="0" xfId="0" applyAlignment="1" applyProtection="1">
      <alignment wrapText="1"/>
      <protection locked="0"/>
    </xf>
    <xf numFmtId="0" fontId="12" fillId="0" borderId="27" xfId="0" applyFont="1" applyBorder="1" applyAlignment="1" applyProtection="1">
      <alignment horizontal="center" vertical="center" wrapText="1"/>
      <protection locked="0"/>
    </xf>
    <xf numFmtId="0" fontId="12" fillId="0" borderId="89" xfId="0" applyFont="1" applyBorder="1" applyAlignment="1" applyProtection="1">
      <alignment horizontal="center" vertical="center" wrapText="1"/>
      <protection locked="0"/>
    </xf>
    <xf numFmtId="0" fontId="12" fillId="0" borderId="49" xfId="0" applyFont="1" applyBorder="1" applyAlignment="1" applyProtection="1">
      <alignment horizontal="center" vertical="center" wrapText="1"/>
      <protection locked="0"/>
    </xf>
    <xf numFmtId="0" fontId="15" fillId="36" borderId="11" xfId="107" applyFont="1" applyFill="1" applyBorder="1" applyAlignment="1">
      <alignment horizontal="center" vertical="center" wrapText="1"/>
    </xf>
    <xf numFmtId="0" fontId="15" fillId="36" borderId="45" xfId="107" applyFont="1" applyFill="1" applyBorder="1" applyAlignment="1">
      <alignment horizontal="center" vertical="center" wrapText="1"/>
    </xf>
    <xf numFmtId="0" fontId="12" fillId="29" borderId="42" xfId="71" applyFont="1" applyFill="1" applyBorder="1" applyAlignment="1" applyProtection="1">
      <alignment horizontal="center" vertical="center"/>
      <protection locked="0"/>
    </xf>
    <xf numFmtId="0" fontId="12" fillId="29" borderId="20" xfId="71" applyFont="1" applyFill="1" applyBorder="1" applyAlignment="1" applyProtection="1">
      <alignment horizontal="center" vertical="center"/>
      <protection locked="0"/>
    </xf>
    <xf numFmtId="0" fontId="12" fillId="29" borderId="18" xfId="71" applyFont="1" applyFill="1" applyBorder="1" applyAlignment="1" applyProtection="1">
      <alignment horizontal="center" vertical="center"/>
      <protection locked="0"/>
    </xf>
    <xf numFmtId="0" fontId="12" fillId="0" borderId="28" xfId="107" applyBorder="1" applyAlignment="1">
      <alignment horizontal="center" vertical="center" wrapText="1"/>
    </xf>
    <xf numFmtId="0" fontId="12" fillId="0" borderId="78" xfId="107" applyBorder="1" applyAlignment="1">
      <alignment horizontal="center" vertical="center" wrapText="1"/>
    </xf>
    <xf numFmtId="0" fontId="12" fillId="0" borderId="53" xfId="107" applyBorder="1" applyAlignment="1">
      <alignment horizontal="center" vertical="center" wrapText="1"/>
    </xf>
    <xf numFmtId="0" fontId="12" fillId="0" borderId="14" xfId="107" applyBorder="1" applyAlignment="1">
      <alignment horizontal="center" vertical="center" wrapText="1"/>
    </xf>
    <xf numFmtId="0" fontId="12" fillId="0" borderId="75" xfId="107" applyBorder="1" applyAlignment="1">
      <alignment horizontal="center" vertical="center" wrapText="1"/>
    </xf>
    <xf numFmtId="0" fontId="12" fillId="0" borderId="44" xfId="107" applyBorder="1" applyAlignment="1">
      <alignment horizontal="center" vertical="center" wrapText="1"/>
    </xf>
    <xf numFmtId="0" fontId="12" fillId="0" borderId="30" xfId="107" applyBorder="1" applyAlignment="1">
      <alignment horizontal="center" vertical="center" wrapText="1"/>
    </xf>
    <xf numFmtId="0" fontId="12" fillId="0" borderId="41" xfId="107" applyBorder="1" applyAlignment="1">
      <alignment horizontal="center" vertical="center" wrapText="1"/>
    </xf>
    <xf numFmtId="0" fontId="12" fillId="29" borderId="42" xfId="71" applyFont="1" applyFill="1" applyBorder="1" applyAlignment="1" applyProtection="1">
      <alignment horizontal="center" vertical="center"/>
    </xf>
    <xf numFmtId="0" fontId="12" fillId="29" borderId="20" xfId="71" applyFont="1" applyFill="1" applyBorder="1" applyAlignment="1" applyProtection="1">
      <alignment horizontal="center" vertical="center"/>
    </xf>
    <xf numFmtId="0" fontId="0" fillId="29" borderId="42" xfId="0" applyFill="1" applyBorder="1" applyAlignment="1" applyProtection="1">
      <alignment horizontal="center" vertical="center"/>
      <protection locked="0"/>
    </xf>
    <xf numFmtId="0" fontId="0" fillId="29" borderId="20" xfId="0" applyFill="1" applyBorder="1" applyAlignment="1" applyProtection="1">
      <alignment horizontal="center" vertical="center"/>
      <protection locked="0"/>
    </xf>
    <xf numFmtId="0" fontId="0" fillId="29" borderId="18" xfId="0" applyFill="1" applyBorder="1" applyAlignment="1" applyProtection="1">
      <alignment horizontal="center" vertical="center"/>
      <protection locked="0"/>
    </xf>
    <xf numFmtId="0" fontId="15" fillId="36" borderId="93" xfId="107" applyFont="1" applyFill="1" applyBorder="1" applyAlignment="1">
      <alignment horizontal="left" vertical="center" wrapText="1"/>
    </xf>
    <xf numFmtId="0" fontId="15" fillId="36" borderId="43" xfId="107" applyFont="1" applyFill="1" applyBorder="1" applyAlignment="1">
      <alignment horizontal="left" vertical="center" wrapText="1"/>
    </xf>
    <xf numFmtId="0" fontId="15" fillId="36" borderId="45" xfId="107" applyFont="1" applyFill="1" applyBorder="1" applyAlignment="1">
      <alignment horizontal="left" vertical="center" wrapText="1"/>
    </xf>
    <xf numFmtId="0" fontId="16" fillId="0" borderId="0" xfId="107" applyFont="1" applyAlignment="1">
      <alignment horizontal="left" vertical="center"/>
    </xf>
    <xf numFmtId="0" fontId="15" fillId="27" borderId="16" xfId="107" applyFont="1" applyFill="1" applyBorder="1" applyAlignment="1">
      <alignment horizontal="center" vertical="center" wrapText="1"/>
    </xf>
    <xf numFmtId="0" fontId="15" fillId="27" borderId="59" xfId="107" applyFont="1" applyFill="1" applyBorder="1" applyAlignment="1">
      <alignment horizontal="center" vertical="center" wrapText="1"/>
    </xf>
    <xf numFmtId="0" fontId="12" fillId="0" borderId="21" xfId="107" applyBorder="1" applyAlignment="1">
      <alignment horizontal="center" vertical="center" wrapText="1"/>
    </xf>
    <xf numFmtId="0" fontId="12" fillId="0" borderId="19" xfId="107" applyBorder="1" applyAlignment="1">
      <alignment horizontal="center" vertical="center" wrapText="1"/>
    </xf>
    <xf numFmtId="0" fontId="12" fillId="29" borderId="42" xfId="107"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2" fillId="0" borderId="27" xfId="107"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62" fillId="0" borderId="10" xfId="0" applyFont="1" applyBorder="1" applyAlignment="1">
      <alignment horizontal="left" vertical="center" wrapText="1"/>
    </xf>
    <xf numFmtId="0" fontId="0" fillId="0" borderId="10" xfId="0" applyBorder="1" applyAlignment="1">
      <alignment horizontal="left" vertical="center"/>
    </xf>
    <xf numFmtId="0" fontId="15" fillId="36" borderId="75" xfId="107" applyFont="1" applyFill="1" applyBorder="1" applyAlignment="1">
      <alignment horizontal="center" vertical="center" wrapText="1"/>
    </xf>
    <xf numFmtId="0" fontId="15" fillId="36" borderId="44" xfId="107" applyFont="1" applyFill="1" applyBorder="1" applyAlignment="1">
      <alignment horizontal="center" vertical="center" wrapText="1"/>
    </xf>
    <xf numFmtId="0" fontId="12" fillId="0" borderId="11" xfId="107" applyBorder="1" applyAlignment="1">
      <alignment horizontal="center" vertical="center" wrapText="1"/>
    </xf>
    <xf numFmtId="0" fontId="12" fillId="0" borderId="45" xfId="107" applyBorder="1" applyAlignment="1">
      <alignment horizontal="center" vertical="center" wrapText="1"/>
    </xf>
    <xf numFmtId="0" fontId="12" fillId="0" borderId="27" xfId="107" applyBorder="1" applyAlignment="1" applyProtection="1">
      <alignment horizontal="center" vertical="center" wrapText="1"/>
      <protection locked="0"/>
    </xf>
    <xf numFmtId="0" fontId="12" fillId="0" borderId="89" xfId="107" applyBorder="1" applyAlignment="1" applyProtection="1">
      <alignment horizontal="center" vertical="center" wrapText="1"/>
      <protection locked="0"/>
    </xf>
    <xf numFmtId="0" fontId="12" fillId="0" borderId="49" xfId="107" applyBorder="1" applyAlignment="1" applyProtection="1">
      <alignment horizontal="center" vertical="center" wrapText="1"/>
      <protection locked="0"/>
    </xf>
    <xf numFmtId="0" fontId="15" fillId="0" borderId="27" xfId="107" applyFont="1" applyBorder="1" applyAlignment="1">
      <alignment horizontal="left" vertical="center" wrapText="1"/>
    </xf>
    <xf numFmtId="0" fontId="15" fillId="0" borderId="49" xfId="107" applyFont="1" applyBorder="1" applyAlignment="1">
      <alignment horizontal="left" vertical="center" wrapText="1"/>
    </xf>
    <xf numFmtId="0" fontId="55" fillId="0" borderId="0" xfId="107" applyFont="1" applyAlignment="1">
      <alignment horizontal="left" vertical="center"/>
    </xf>
    <xf numFmtId="0" fontId="15" fillId="27" borderId="64" xfId="107" applyFont="1" applyFill="1" applyBorder="1" applyAlignment="1">
      <alignment horizontal="left" vertical="center" wrapText="1"/>
    </xf>
    <xf numFmtId="0" fontId="15" fillId="27" borderId="65" xfId="107" applyFont="1" applyFill="1" applyBorder="1" applyAlignment="1">
      <alignment horizontal="left" vertical="center" wrapText="1"/>
    </xf>
    <xf numFmtId="0" fontId="15" fillId="27" borderId="59" xfId="107" applyFont="1" applyFill="1" applyBorder="1" applyAlignment="1">
      <alignment horizontal="left" vertical="center" wrapText="1"/>
    </xf>
    <xf numFmtId="2" fontId="15" fillId="0" borderId="27" xfId="107" applyNumberFormat="1" applyFont="1" applyBorder="1" applyAlignment="1">
      <alignment horizontal="left" vertical="center" wrapText="1"/>
    </xf>
    <xf numFmtId="2" fontId="15" fillId="0" borderId="34" xfId="107" applyNumberFormat="1" applyFont="1" applyBorder="1" applyAlignment="1">
      <alignment horizontal="left" vertical="center" wrapText="1"/>
    </xf>
    <xf numFmtId="0" fontId="12" fillId="0" borderId="30" xfId="107" applyBorder="1" applyAlignment="1">
      <alignment horizontal="left" vertical="center" wrapText="1"/>
    </xf>
    <xf numFmtId="0" fontId="12" fillId="0" borderId="88" xfId="107" applyBorder="1" applyAlignment="1">
      <alignment horizontal="left" vertical="center" wrapText="1"/>
    </xf>
    <xf numFmtId="0" fontId="12" fillId="26" borderId="0" xfId="107" applyFill="1" applyAlignment="1" applyProtection="1">
      <alignment horizontal="center" vertical="center"/>
      <protection locked="0"/>
    </xf>
    <xf numFmtId="2" fontId="15" fillId="0" borderId="89" xfId="107" applyNumberFormat="1" applyFont="1" applyBorder="1" applyAlignment="1">
      <alignment horizontal="left" vertical="center" wrapText="1"/>
    </xf>
    <xf numFmtId="2" fontId="15" fillId="0" borderId="49" xfId="107" applyNumberFormat="1" applyFont="1" applyBorder="1" applyAlignment="1">
      <alignment horizontal="left" vertical="center" wrapText="1"/>
    </xf>
    <xf numFmtId="0" fontId="12" fillId="0" borderId="70" xfId="107" applyBorder="1" applyAlignment="1">
      <alignment vertical="center" wrapText="1"/>
    </xf>
    <xf numFmtId="0" fontId="12" fillId="0" borderId="56" xfId="0" applyFont="1" applyBorder="1" applyAlignment="1">
      <alignment vertical="center" wrapText="1"/>
    </xf>
    <xf numFmtId="0" fontId="12" fillId="29" borderId="42" xfId="0" applyFont="1" applyFill="1" applyBorder="1" applyAlignment="1" applyProtection="1">
      <alignment horizontal="center" vertical="center"/>
      <protection locked="0"/>
    </xf>
    <xf numFmtId="0" fontId="12" fillId="29" borderId="18" xfId="0" applyFont="1" applyFill="1" applyBorder="1" applyAlignment="1" applyProtection="1">
      <alignment horizontal="center" vertical="center"/>
      <protection locked="0"/>
    </xf>
    <xf numFmtId="0" fontId="12" fillId="0" borderId="30" xfId="107" applyBorder="1" applyAlignment="1" applyProtection="1">
      <alignment horizontal="center" vertical="center" wrapText="1"/>
      <protection locked="0"/>
    </xf>
    <xf numFmtId="0" fontId="12" fillId="0" borderId="41" xfId="107" applyBorder="1" applyAlignment="1" applyProtection="1">
      <alignment horizontal="center" vertical="center" wrapText="1"/>
      <protection locked="0"/>
    </xf>
    <xf numFmtId="0" fontId="12" fillId="27" borderId="11" xfId="107" applyFill="1" applyBorder="1" applyAlignment="1">
      <alignment vertical="center" wrapText="1"/>
    </xf>
    <xf numFmtId="0" fontId="12" fillId="27" borderId="43" xfId="0" applyFont="1" applyFill="1" applyBorder="1" applyAlignment="1">
      <alignment vertical="center" wrapText="1"/>
    </xf>
    <xf numFmtId="0" fontId="15" fillId="0" borderId="89" xfId="107" applyFont="1" applyBorder="1" applyAlignment="1">
      <alignment horizontal="left" vertical="center" wrapText="1"/>
    </xf>
    <xf numFmtId="0" fontId="12" fillId="0" borderId="30" xfId="107" applyBorder="1" applyAlignment="1">
      <alignment vertical="center" wrapText="1"/>
    </xf>
    <xf numFmtId="0" fontId="12" fillId="0" borderId="41" xfId="0" applyFont="1" applyBorder="1" applyAlignment="1">
      <alignment vertical="center" wrapText="1"/>
    </xf>
    <xf numFmtId="0" fontId="12" fillId="29" borderId="20" xfId="0" applyFont="1" applyFill="1" applyBorder="1" applyAlignment="1" applyProtection="1">
      <alignment horizontal="center" vertical="center"/>
      <protection locked="0"/>
    </xf>
    <xf numFmtId="0" fontId="12" fillId="0" borderId="55" xfId="107" applyBorder="1" applyAlignment="1">
      <alignment vertical="center" wrapText="1"/>
    </xf>
    <xf numFmtId="0" fontId="12" fillId="0" borderId="55" xfId="0" applyFont="1" applyBorder="1" applyAlignment="1">
      <alignment vertical="center" wrapText="1"/>
    </xf>
    <xf numFmtId="0" fontId="12" fillId="0" borderId="40" xfId="107" applyBorder="1" applyAlignment="1">
      <alignment vertical="center" wrapText="1"/>
    </xf>
    <xf numFmtId="0" fontId="12" fillId="0" borderId="41" xfId="107" applyBorder="1" applyAlignment="1">
      <alignment vertical="center" wrapText="1"/>
    </xf>
    <xf numFmtId="0" fontId="12" fillId="0" borderId="10" xfId="107" applyBorder="1" applyAlignment="1" applyProtection="1">
      <alignment horizontal="center" vertical="center" wrapText="1"/>
      <protection locked="0"/>
    </xf>
    <xf numFmtId="0" fontId="12" fillId="0" borderId="40" xfId="107" applyBorder="1" applyAlignment="1" applyProtection="1">
      <alignment horizontal="center" vertical="center" wrapText="1"/>
      <protection locked="0"/>
    </xf>
    <xf numFmtId="0" fontId="28" fillId="26" borderId="95" xfId="107" applyFont="1" applyFill="1" applyBorder="1" applyAlignment="1">
      <alignment vertical="center" wrapText="1"/>
    </xf>
    <xf numFmtId="0" fontId="28" fillId="26" borderId="94" xfId="107" applyFont="1" applyFill="1" applyBorder="1" applyAlignment="1">
      <alignment vertical="center" wrapText="1"/>
    </xf>
    <xf numFmtId="0" fontId="0" fillId="0" borderId="89" xfId="0" applyBorder="1" applyAlignment="1">
      <alignment horizontal="left" vertical="center" wrapText="1"/>
    </xf>
    <xf numFmtId="0" fontId="0" fillId="0" borderId="49" xfId="0" applyBorder="1" applyAlignment="1">
      <alignment horizontal="left" vertical="center" wrapText="1"/>
    </xf>
    <xf numFmtId="0" fontId="0" fillId="0" borderId="40" xfId="0" applyBorder="1" applyAlignment="1">
      <alignment vertical="center" wrapText="1"/>
    </xf>
    <xf numFmtId="0" fontId="0" fillId="0" borderId="41" xfId="0" applyBorder="1" applyAlignment="1">
      <alignment vertical="center" wrapText="1"/>
    </xf>
    <xf numFmtId="0" fontId="23" fillId="0" borderId="0" xfId="107" applyFont="1" applyAlignment="1">
      <alignment horizontal="left" vertical="top" wrapText="1"/>
    </xf>
    <xf numFmtId="0" fontId="12" fillId="0" borderId="0" xfId="1153" applyAlignment="1">
      <alignment vertical="top" wrapText="1"/>
    </xf>
    <xf numFmtId="0" fontId="12" fillId="0" borderId="0" xfId="107" applyAlignment="1">
      <alignment vertical="top"/>
    </xf>
    <xf numFmtId="0" fontId="15" fillId="0" borderId="10" xfId="1144" applyFont="1" applyBorder="1" applyAlignment="1">
      <alignment vertical="center" wrapText="1"/>
    </xf>
    <xf numFmtId="0" fontId="12" fillId="0" borderId="0" xfId="107" applyAlignment="1">
      <alignment horizontal="center" vertical="center" wrapText="1"/>
    </xf>
    <xf numFmtId="0" fontId="12" fillId="29" borderId="42" xfId="107" applyFill="1" applyBorder="1" applyAlignment="1" applyProtection="1">
      <alignment horizontal="center" vertical="center" wrapText="1"/>
      <protection locked="0"/>
    </xf>
    <xf numFmtId="0" fontId="12" fillId="29" borderId="20" xfId="107" applyFill="1" applyBorder="1" applyAlignment="1" applyProtection="1">
      <alignment horizontal="center" vertical="center" wrapText="1"/>
      <protection locked="0"/>
    </xf>
    <xf numFmtId="0" fontId="12" fillId="29" borderId="18" xfId="107" applyFill="1" applyBorder="1" applyAlignment="1" applyProtection="1">
      <alignment horizontal="center" vertical="center" wrapText="1"/>
      <protection locked="0"/>
    </xf>
    <xf numFmtId="0" fontId="62" fillId="0" borderId="25" xfId="1144" applyBorder="1" applyAlignment="1">
      <alignment horizontal="center" vertical="center"/>
    </xf>
    <xf numFmtId="0" fontId="62" fillId="0" borderId="0" xfId="1144" applyAlignment="1">
      <alignment horizontal="center" vertical="center"/>
    </xf>
    <xf numFmtId="0" fontId="62" fillId="0" borderId="55" xfId="1144" applyBorder="1" applyAlignment="1">
      <alignment horizontal="center" vertical="center"/>
    </xf>
    <xf numFmtId="0" fontId="12" fillId="0" borderId="0" xfId="107" applyAlignment="1">
      <alignment wrapText="1"/>
    </xf>
    <xf numFmtId="0" fontId="0" fillId="0" borderId="0" xfId="0"/>
    <xf numFmtId="0" fontId="65" fillId="36" borderId="93" xfId="108" applyFont="1" applyFill="1" applyBorder="1" applyAlignment="1">
      <alignment vertical="center"/>
    </xf>
    <xf numFmtId="0" fontId="65" fillId="36" borderId="46" xfId="108" applyFont="1" applyFill="1" applyBorder="1" applyAlignment="1">
      <alignment vertical="center"/>
    </xf>
    <xf numFmtId="0" fontId="67" fillId="27" borderId="64" xfId="107" applyFont="1" applyFill="1" applyBorder="1" applyAlignment="1">
      <alignment horizontal="left" vertical="center" wrapText="1"/>
    </xf>
    <xf numFmtId="0" fontId="67" fillId="27" borderId="65" xfId="107" applyFont="1" applyFill="1" applyBorder="1" applyAlignment="1">
      <alignment horizontal="left" vertical="center"/>
    </xf>
    <xf numFmtId="0" fontId="65" fillId="27" borderId="65" xfId="0" applyFont="1" applyFill="1" applyBorder="1"/>
    <xf numFmtId="0" fontId="16" fillId="27" borderId="64" xfId="107" applyFont="1" applyFill="1" applyBorder="1" applyAlignment="1">
      <alignment horizontal="left" vertical="center" wrapText="1"/>
    </xf>
    <xf numFmtId="0" fontId="16" fillId="27" borderId="65" xfId="107" applyFont="1" applyFill="1" applyBorder="1" applyAlignment="1">
      <alignment horizontal="left" vertical="center"/>
    </xf>
    <xf numFmtId="0" fontId="12" fillId="27" borderId="65" xfId="0" applyFont="1" applyFill="1" applyBorder="1"/>
    <xf numFmtId="0" fontId="16" fillId="0" borderId="0" xfId="107" applyFont="1" applyAlignment="1">
      <alignment horizontal="left" vertical="center" wrapText="1"/>
    </xf>
    <xf numFmtId="0" fontId="68" fillId="0" borderId="39" xfId="1146" applyFont="1" applyBorder="1" applyAlignment="1">
      <alignment horizontal="center" vertical="center"/>
    </xf>
    <xf numFmtId="0" fontId="68" fillId="0" borderId="47" xfId="1146" applyFont="1" applyBorder="1" applyAlignment="1">
      <alignment horizontal="center" vertical="center"/>
    </xf>
    <xf numFmtId="0" fontId="68" fillId="0" borderId="54" xfId="1146" applyFont="1" applyBorder="1" applyAlignment="1">
      <alignment horizontal="center" vertical="center"/>
    </xf>
    <xf numFmtId="0" fontId="68" fillId="0" borderId="64" xfId="1146" applyFont="1" applyBorder="1" applyAlignment="1">
      <alignment horizontal="center" vertical="center"/>
    </xf>
    <xf numFmtId="0" fontId="68" fillId="0" borderId="65" xfId="1146" applyFont="1" applyBorder="1" applyAlignment="1">
      <alignment horizontal="center" vertical="center"/>
    </xf>
    <xf numFmtId="0" fontId="68" fillId="0" borderId="59" xfId="1146" applyFont="1" applyBorder="1" applyAlignment="1">
      <alignment horizontal="center" vertical="center"/>
    </xf>
    <xf numFmtId="0" fontId="51" fillId="27" borderId="64" xfId="146" applyFont="1" applyFill="1" applyBorder="1" applyAlignment="1" applyProtection="1">
      <alignment horizontal="center" vertical="center"/>
    </xf>
    <xf numFmtId="0" fontId="51" fillId="27" borderId="65" xfId="146" applyFont="1" applyFill="1" applyBorder="1" applyAlignment="1" applyProtection="1">
      <alignment horizontal="center" vertical="center"/>
    </xf>
    <xf numFmtId="0" fontId="51" fillId="27" borderId="59" xfId="146" applyFont="1" applyFill="1" applyBorder="1" applyAlignment="1" applyProtection="1">
      <alignment horizontal="center" vertical="center"/>
    </xf>
    <xf numFmtId="0" fontId="93" fillId="38" borderId="90" xfId="1148" applyFont="1" applyFill="1" applyBorder="1" applyAlignment="1">
      <alignment horizontal="center" vertical="center"/>
    </xf>
    <xf numFmtId="0" fontId="93" fillId="38" borderId="36" xfId="1148" applyFont="1" applyFill="1" applyBorder="1" applyAlignment="1">
      <alignment horizontal="center" vertical="center"/>
    </xf>
    <xf numFmtId="0" fontId="68" fillId="38" borderId="36" xfId="1148" applyFont="1" applyFill="1" applyBorder="1" applyAlignment="1">
      <alignment horizontal="center" vertical="center"/>
    </xf>
    <xf numFmtId="0" fontId="68" fillId="38" borderId="91" xfId="1148" applyFont="1" applyFill="1" applyBorder="1" applyAlignment="1">
      <alignment horizontal="center" vertical="center"/>
    </xf>
    <xf numFmtId="0" fontId="68" fillId="38" borderId="99" xfId="1148" applyFont="1" applyFill="1" applyBorder="1" applyAlignment="1">
      <alignment horizontal="center" vertical="center"/>
    </xf>
    <xf numFmtId="0" fontId="68" fillId="38" borderId="114" xfId="1148" applyFont="1" applyFill="1" applyBorder="1" applyAlignment="1">
      <alignment horizontal="center" vertical="center"/>
    </xf>
    <xf numFmtId="0" fontId="68" fillId="38" borderId="115" xfId="1148" applyFont="1" applyFill="1" applyBorder="1" applyAlignment="1">
      <alignment horizontal="center" vertical="center"/>
    </xf>
    <xf numFmtId="0" fontId="61" fillId="38" borderId="10" xfId="1149" applyFont="1" applyFill="1" applyBorder="1" applyAlignment="1">
      <alignment horizontal="center"/>
    </xf>
    <xf numFmtId="0" fontId="61" fillId="38" borderId="11" xfId="1149" applyFont="1" applyFill="1" applyBorder="1" applyAlignment="1">
      <alignment horizontal="center"/>
    </xf>
    <xf numFmtId="0" fontId="61" fillId="38" borderId="46" xfId="1149" applyFont="1" applyFill="1" applyBorder="1" applyAlignment="1">
      <alignment horizontal="center"/>
    </xf>
    <xf numFmtId="0" fontId="68" fillId="27" borderId="64" xfId="109" applyFont="1" applyFill="1" applyBorder="1" applyAlignment="1">
      <alignment horizontal="center" vertical="center"/>
    </xf>
    <xf numFmtId="0" fontId="68" fillId="27" borderId="65" xfId="109" applyFont="1" applyFill="1" applyBorder="1" applyAlignment="1">
      <alignment horizontal="center" vertical="center"/>
    </xf>
    <xf numFmtId="0" fontId="68" fillId="27" borderId="59" xfId="109" applyFont="1" applyFill="1" applyBorder="1" applyAlignment="1">
      <alignment horizontal="center" vertical="center"/>
    </xf>
    <xf numFmtId="0" fontId="50" fillId="27" borderId="93" xfId="59" applyFont="1" applyFill="1" applyBorder="1" applyAlignment="1" applyProtection="1">
      <alignment horizontal="center" vertical="center"/>
    </xf>
    <xf numFmtId="0" fontId="50" fillId="27" borderId="43" xfId="59" applyFont="1" applyFill="1" applyBorder="1" applyAlignment="1" applyProtection="1">
      <alignment horizontal="center" vertical="center"/>
    </xf>
    <xf numFmtId="0" fontId="50" fillId="27" borderId="45" xfId="59" applyFont="1" applyFill="1" applyBorder="1" applyAlignment="1" applyProtection="1">
      <alignment horizontal="center" vertical="center"/>
    </xf>
    <xf numFmtId="0" fontId="64" fillId="29" borderId="11" xfId="69" applyFont="1" applyFill="1" applyBorder="1" applyAlignment="1" applyProtection="1">
      <alignment horizontal="center" vertical="center"/>
      <protection locked="0"/>
    </xf>
    <xf numFmtId="0" fontId="64" fillId="29" borderId="45" xfId="69" applyFont="1" applyFill="1" applyBorder="1" applyAlignment="1" applyProtection="1">
      <alignment horizontal="center" vertical="center"/>
      <protection locked="0"/>
    </xf>
    <xf numFmtId="0" fontId="12" fillId="0" borderId="10" xfId="107" applyBorder="1" applyAlignment="1">
      <alignment horizontal="left" vertical="center" wrapText="1"/>
    </xf>
    <xf numFmtId="0" fontId="15" fillId="27" borderId="39" xfId="107" applyFont="1" applyFill="1" applyBorder="1" applyAlignment="1">
      <alignment horizontal="center" vertical="center" wrapText="1"/>
    </xf>
    <xf numFmtId="0" fontId="15" fillId="27" borderId="47" xfId="107" applyFont="1" applyFill="1" applyBorder="1" applyAlignment="1">
      <alignment horizontal="center" vertical="center" wrapText="1"/>
    </xf>
    <xf numFmtId="0" fontId="15" fillId="27" borderId="54" xfId="107" applyFont="1" applyFill="1" applyBorder="1" applyAlignment="1">
      <alignment horizontal="center" vertical="center" wrapText="1"/>
    </xf>
    <xf numFmtId="0" fontId="12" fillId="0" borderId="15" xfId="107" applyBorder="1" applyAlignment="1">
      <alignment horizontal="center" vertical="center" wrapText="1"/>
    </xf>
    <xf numFmtId="0" fontId="12" fillId="0" borderId="16" xfId="107" applyBorder="1" applyAlignment="1">
      <alignment horizontal="center" vertical="center" wrapText="1"/>
    </xf>
    <xf numFmtId="0" fontId="50" fillId="29" borderId="42" xfId="71" applyFont="1" applyFill="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12" fillId="0" borderId="17" xfId="107" applyBorder="1" applyAlignment="1">
      <alignment horizontal="center" vertical="center" wrapText="1"/>
    </xf>
    <xf numFmtId="0" fontId="12" fillId="0" borderId="23" xfId="107" applyBorder="1" applyAlignment="1">
      <alignment horizontal="center" vertical="center" wrapText="1"/>
    </xf>
    <xf numFmtId="0" fontId="12" fillId="0" borderId="29" xfId="107" applyBorder="1" applyAlignment="1">
      <alignment horizontal="center" vertical="center" wrapText="1"/>
    </xf>
    <xf numFmtId="0" fontId="16" fillId="0" borderId="114" xfId="107" applyFont="1" applyBorder="1" applyAlignment="1">
      <alignment horizontal="left" vertical="center"/>
    </xf>
    <xf numFmtId="0" fontId="15" fillId="27" borderId="64" xfId="107" applyFont="1" applyFill="1" applyBorder="1" applyAlignment="1">
      <alignment horizontal="center" vertical="center"/>
    </xf>
    <xf numFmtId="0" fontId="15" fillId="27" borderId="65" xfId="107" applyFont="1" applyFill="1" applyBorder="1" applyAlignment="1">
      <alignment horizontal="center" vertical="center"/>
    </xf>
    <xf numFmtId="0" fontId="15" fillId="28" borderId="17" xfId="107" applyFont="1" applyFill="1" applyBorder="1" applyAlignment="1">
      <alignment horizontal="center" vertical="center"/>
    </xf>
    <xf numFmtId="0" fontId="15" fillId="28" borderId="10" xfId="107" applyFont="1" applyFill="1" applyBorder="1" applyAlignment="1">
      <alignment horizontal="center" vertical="center"/>
    </xf>
    <xf numFmtId="0" fontId="15" fillId="28" borderId="11" xfId="107" applyFont="1" applyFill="1" applyBorder="1" applyAlignment="1">
      <alignment horizontal="center" vertical="center"/>
    </xf>
    <xf numFmtId="0" fontId="15" fillId="0" borderId="32" xfId="107" applyFont="1" applyBorder="1" applyAlignment="1">
      <alignment vertical="center" wrapText="1"/>
    </xf>
    <xf numFmtId="0" fontId="15" fillId="0" borderId="13" xfId="107" applyFont="1" applyBorder="1" applyAlignment="1">
      <alignment vertical="center" wrapText="1"/>
    </xf>
    <xf numFmtId="0" fontId="23" fillId="0" borderId="27" xfId="1153" applyFont="1" applyBorder="1" applyAlignment="1">
      <alignment horizontal="left" vertical="center" wrapText="1"/>
    </xf>
    <xf numFmtId="0" fontId="23" fillId="0" borderId="49" xfId="1153" applyFont="1" applyBorder="1" applyAlignment="1">
      <alignment horizontal="left" vertical="center" wrapText="1"/>
    </xf>
    <xf numFmtId="0" fontId="12" fillId="0" borderId="22" xfId="107" applyBorder="1" applyAlignment="1">
      <alignment horizontal="center" vertical="center" wrapText="1"/>
    </xf>
    <xf numFmtId="0" fontId="12" fillId="29" borderId="42" xfId="71" applyFont="1" applyFill="1" applyBorder="1" applyAlignment="1" applyProtection="1">
      <alignment horizontal="center" vertical="center" wrapText="1"/>
      <protection locked="0"/>
    </xf>
    <xf numFmtId="0" fontId="12" fillId="29" borderId="18" xfId="71" applyFont="1" applyFill="1" applyBorder="1" applyAlignment="1" applyProtection="1">
      <alignment horizontal="center" vertical="center" wrapText="1"/>
      <protection locked="0"/>
    </xf>
    <xf numFmtId="0" fontId="15" fillId="0" borderId="32" xfId="1153" applyFont="1" applyBorder="1" applyAlignment="1">
      <alignment horizontal="left" vertical="center" wrapText="1"/>
    </xf>
    <xf numFmtId="0" fontId="15" fillId="0" borderId="13" xfId="1153" applyFont="1" applyBorder="1" applyAlignment="1">
      <alignment horizontal="left" vertical="center" wrapText="1"/>
    </xf>
    <xf numFmtId="0" fontId="15" fillId="0" borderId="27" xfId="1153" applyFont="1" applyBorder="1" applyAlignment="1">
      <alignment horizontal="left" vertical="top" wrapText="1"/>
    </xf>
    <xf numFmtId="0" fontId="15" fillId="0" borderId="49" xfId="1153" applyFont="1" applyBorder="1" applyAlignment="1">
      <alignment horizontal="left" vertical="top" wrapText="1"/>
    </xf>
    <xf numFmtId="0" fontId="12" fillId="0" borderId="22" xfId="0" applyFont="1" applyBorder="1" applyAlignment="1">
      <alignment horizontal="center" vertical="center" wrapText="1"/>
    </xf>
    <xf numFmtId="0" fontId="15" fillId="0" borderId="97" xfId="107" applyFont="1" applyBorder="1" applyAlignment="1">
      <alignment vertical="center" wrapText="1"/>
    </xf>
    <xf numFmtId="0" fontId="15" fillId="0" borderId="77" xfId="0" applyFont="1" applyBorder="1" applyAlignment="1">
      <alignment vertical="center" wrapText="1"/>
    </xf>
    <xf numFmtId="0" fontId="0" fillId="0" borderId="77" xfId="0" applyBorder="1" applyAlignment="1">
      <alignment vertical="center" wrapText="1"/>
    </xf>
    <xf numFmtId="0" fontId="0" fillId="0" borderId="50" xfId="0" applyBorder="1" applyAlignment="1">
      <alignment vertical="center" wrapText="1"/>
    </xf>
    <xf numFmtId="0" fontId="12" fillId="0" borderId="53" xfId="0" applyFont="1" applyBorder="1" applyAlignment="1">
      <alignment horizontal="center" vertical="center" wrapText="1"/>
    </xf>
    <xf numFmtId="0" fontId="12" fillId="0" borderId="75" xfId="0" applyFont="1" applyBorder="1" applyAlignment="1">
      <alignment horizontal="center" vertical="center" wrapText="1"/>
    </xf>
    <xf numFmtId="0" fontId="12" fillId="37" borderId="110" xfId="0" applyFont="1" applyFill="1" applyBorder="1" applyAlignment="1">
      <alignment horizontal="center" vertical="center" wrapText="1"/>
    </xf>
    <xf numFmtId="0" fontId="12" fillId="37" borderId="111" xfId="0" applyFont="1" applyFill="1" applyBorder="1" applyAlignment="1">
      <alignment horizontal="center" vertical="center" wrapText="1"/>
    </xf>
    <xf numFmtId="0" fontId="12" fillId="37" borderId="112" xfId="0" applyFont="1" applyFill="1" applyBorder="1" applyAlignment="1">
      <alignment horizontal="center" vertical="center" wrapText="1"/>
    </xf>
    <xf numFmtId="0" fontId="15" fillId="28" borderId="90" xfId="107" applyFont="1" applyFill="1" applyBorder="1" applyAlignment="1">
      <alignment vertical="center" wrapText="1"/>
    </xf>
    <xf numFmtId="0" fontId="0" fillId="0" borderId="106" xfId="0" applyBorder="1" applyAlignment="1">
      <alignment vertical="center" wrapText="1"/>
    </xf>
    <xf numFmtId="0" fontId="15" fillId="0" borderId="14" xfId="107" applyFont="1" applyBorder="1" applyAlignment="1">
      <alignment vertical="center" wrapText="1"/>
    </xf>
    <xf numFmtId="0" fontId="15" fillId="0" borderId="14" xfId="0" applyFont="1" applyBorder="1" applyAlignment="1">
      <alignment vertical="center" wrapText="1"/>
    </xf>
    <xf numFmtId="0" fontId="15" fillId="0" borderId="44" xfId="0" applyFont="1" applyBorder="1" applyAlignment="1">
      <alignment vertical="center" wrapText="1"/>
    </xf>
    <xf numFmtId="0" fontId="16" fillId="0" borderId="0" xfId="1153" applyFont="1" applyAlignment="1">
      <alignment horizontal="left" vertical="center"/>
    </xf>
    <xf numFmtId="0" fontId="12" fillId="0" borderId="0" xfId="107" applyAlignment="1">
      <alignment horizontal="left" vertical="center"/>
    </xf>
    <xf numFmtId="0" fontId="15" fillId="0" borderId="0" xfId="107" applyFont="1" applyAlignment="1">
      <alignment horizontal="left" vertical="center"/>
    </xf>
    <xf numFmtId="0" fontId="12" fillId="0" borderId="70" xfId="0" applyFont="1" applyBorder="1" applyAlignment="1" applyProtection="1">
      <alignment vertical="center" wrapText="1"/>
      <protection locked="0"/>
    </xf>
    <xf numFmtId="0" fontId="12" fillId="0" borderId="55" xfId="0" applyFont="1" applyBorder="1" applyAlignment="1" applyProtection="1">
      <alignment vertical="center" wrapText="1"/>
      <protection locked="0"/>
    </xf>
    <xf numFmtId="0" fontId="12" fillId="0" borderId="56" xfId="0" applyFont="1" applyBorder="1" applyAlignment="1" applyProtection="1">
      <alignment vertical="center" wrapText="1"/>
      <protection locked="0"/>
    </xf>
  </cellXfs>
  <cellStyles count="1154">
    <cellStyle name="20 % - Akzent2 2" xfId="1"/>
    <cellStyle name="20 % - Akzent2 2 2" xfId="2"/>
    <cellStyle name="20% - Akzent1" xfId="3"/>
    <cellStyle name="20% - Akzent1 2" xfId="4"/>
    <cellStyle name="20% - Akzent1 3" xfId="5"/>
    <cellStyle name="20% - Akzent2" xfId="146"/>
    <cellStyle name="20% - Akzent2 2" xfId="6"/>
    <cellStyle name="20% - Akzent2 2 2" xfId="7"/>
    <cellStyle name="20% - Akzent2 2 3" xfId="8"/>
    <cellStyle name="20% - Akzent2 3" xfId="9"/>
    <cellStyle name="20% - Akzent3" xfId="10"/>
    <cellStyle name="20% - Akzent3 2" xfId="11"/>
    <cellStyle name="20% - Akzent3 3" xfId="12"/>
    <cellStyle name="20% - Akzent4" xfId="13"/>
    <cellStyle name="20% - Akzent4 2" xfId="14"/>
    <cellStyle name="20% - Akzent4 3" xfId="15"/>
    <cellStyle name="20% - Akzent5" xfId="16"/>
    <cellStyle name="20% - Akzent5 2" xfId="17"/>
    <cellStyle name="20% - Akzent5 3" xfId="18"/>
    <cellStyle name="20% - Akzent6" xfId="19"/>
    <cellStyle name="20% - Akzent6 2" xfId="20"/>
    <cellStyle name="20% - Akzent6 3" xfId="21"/>
    <cellStyle name="40% - Akzent1" xfId="22"/>
    <cellStyle name="40% - Akzent1 2" xfId="23"/>
    <cellStyle name="40% - Akzent1 3" xfId="24"/>
    <cellStyle name="40% - Akzent2" xfId="25"/>
    <cellStyle name="40% - Akzent2 2" xfId="26"/>
    <cellStyle name="40% - Akzent2 3" xfId="27"/>
    <cellStyle name="40% - Akzent3" xfId="28"/>
    <cellStyle name="40% - Akzent3 2" xfId="29"/>
    <cellStyle name="40% - Akzent3 3" xfId="30"/>
    <cellStyle name="40% - Akzent4" xfId="31"/>
    <cellStyle name="40% - Akzent4 2" xfId="32"/>
    <cellStyle name="40% - Akzent4 3" xfId="33"/>
    <cellStyle name="40% - Akzent5" xfId="34"/>
    <cellStyle name="40% - Akzent5 2" xfId="35"/>
    <cellStyle name="40% - Akzent5 3" xfId="36"/>
    <cellStyle name="40% - Akzent6" xfId="37"/>
    <cellStyle name="40% - Akzent6 2" xfId="38"/>
    <cellStyle name="40% - Akzent6 3" xfId="39"/>
    <cellStyle name="60% - Akzent1" xfId="40"/>
    <cellStyle name="60% - Akzent2" xfId="41"/>
    <cellStyle name="60% - Akzent3" xfId="42"/>
    <cellStyle name="60% - Akzent4" xfId="43"/>
    <cellStyle name="60% - Akzent5" xfId="44"/>
    <cellStyle name="60% - Akzent6" xfId="45"/>
    <cellStyle name="Akzent1" xfId="46"/>
    <cellStyle name="Akzent1 2" xfId="47"/>
    <cellStyle name="Akzent1 3" xfId="633"/>
    <cellStyle name="Akzent2" xfId="48"/>
    <cellStyle name="Akzent2 2" xfId="49"/>
    <cellStyle name="Akzent2 3" xfId="634"/>
    <cellStyle name="Akzent3" xfId="50"/>
    <cellStyle name="Akzent3 2" xfId="51"/>
    <cellStyle name="Akzent3 3" xfId="635"/>
    <cellStyle name="Akzent4" xfId="52"/>
    <cellStyle name="Akzent4 2" xfId="53"/>
    <cellStyle name="Akzent4 3" xfId="636"/>
    <cellStyle name="Akzent5" xfId="54"/>
    <cellStyle name="Akzent5 2" xfId="55"/>
    <cellStyle name="Akzent5 3" xfId="637"/>
    <cellStyle name="Akzent6" xfId="56"/>
    <cellStyle name="Akzent6 2" xfId="57"/>
    <cellStyle name="Akzent6 3" xfId="638"/>
    <cellStyle name="Ausgabe" xfId="58"/>
    <cellStyle name="Ausgabe 2" xfId="59"/>
    <cellStyle name="Ausgabe 3" xfId="60"/>
    <cellStyle name="Ausgabe 4" xfId="639"/>
    <cellStyle name="Berechnung" xfId="61"/>
    <cellStyle name="Berechnung 2" xfId="62"/>
    <cellStyle name="Berechnung 3" xfId="640"/>
    <cellStyle name="Dezimal 2" xfId="63"/>
    <cellStyle name="Dezimal 2 10" xfId="898"/>
    <cellStyle name="Dezimal 2 2" xfId="64"/>
    <cellStyle name="Dezimal 2 2 2" xfId="65"/>
    <cellStyle name="Dezimal 2 2 2 2" xfId="149"/>
    <cellStyle name="Dezimal 2 2 2 2 2" xfId="230"/>
    <cellStyle name="Dezimal 2 2 2 2 2 2" xfId="593"/>
    <cellStyle name="Dezimal 2 2 2 2 2 3" xfId="860"/>
    <cellStyle name="Dezimal 2 2 2 2 2 4" xfId="1104"/>
    <cellStyle name="Dezimal 2 2 2 2 3" xfId="351"/>
    <cellStyle name="Dezimal 2 2 2 2 4" xfId="472"/>
    <cellStyle name="Dezimal 2 2 2 2 5" xfId="739"/>
    <cellStyle name="Dezimal 2 2 2 2 6" xfId="983"/>
    <cellStyle name="Dezimal 2 2 2 3" xfId="187"/>
    <cellStyle name="Dezimal 2 2 2 3 2" xfId="310"/>
    <cellStyle name="Dezimal 2 2 2 3 2 2" xfId="552"/>
    <cellStyle name="Dezimal 2 2 2 3 2 3" xfId="819"/>
    <cellStyle name="Dezimal 2 2 2 3 2 4" xfId="1063"/>
    <cellStyle name="Dezimal 2 2 2 3 3" xfId="431"/>
    <cellStyle name="Dezimal 2 2 2 3 4" xfId="698"/>
    <cellStyle name="Dezimal 2 2 2 3 5" xfId="942"/>
    <cellStyle name="Dezimal 2 2 2 4" xfId="270"/>
    <cellStyle name="Dezimal 2 2 2 4 2" xfId="512"/>
    <cellStyle name="Dezimal 2 2 2 4 3" xfId="779"/>
    <cellStyle name="Dezimal 2 2 2 4 4" xfId="1023"/>
    <cellStyle name="Dezimal 2 2 2 5" xfId="391"/>
    <cellStyle name="Dezimal 2 2 2 6" xfId="643"/>
    <cellStyle name="Dezimal 2 2 2 7" xfId="900"/>
    <cellStyle name="Dezimal 2 2 3" xfId="148"/>
    <cellStyle name="Dezimal 2 2 3 2" xfId="229"/>
    <cellStyle name="Dezimal 2 2 3 2 2" xfId="592"/>
    <cellStyle name="Dezimal 2 2 3 2 3" xfId="859"/>
    <cellStyle name="Dezimal 2 2 3 2 4" xfId="1103"/>
    <cellStyle name="Dezimal 2 2 3 3" xfId="350"/>
    <cellStyle name="Dezimal 2 2 3 4" xfId="471"/>
    <cellStyle name="Dezimal 2 2 3 5" xfId="738"/>
    <cellStyle name="Dezimal 2 2 3 6" xfId="982"/>
    <cellStyle name="Dezimal 2 2 4" xfId="188"/>
    <cellStyle name="Dezimal 2 2 4 2" xfId="309"/>
    <cellStyle name="Dezimal 2 2 4 2 2" xfId="551"/>
    <cellStyle name="Dezimal 2 2 4 2 3" xfId="818"/>
    <cellStyle name="Dezimal 2 2 4 2 4" xfId="1062"/>
    <cellStyle name="Dezimal 2 2 4 3" xfId="430"/>
    <cellStyle name="Dezimal 2 2 4 4" xfId="697"/>
    <cellStyle name="Dezimal 2 2 4 5" xfId="941"/>
    <cellStyle name="Dezimal 2 2 5" xfId="269"/>
    <cellStyle name="Dezimal 2 2 5 2" xfId="511"/>
    <cellStyle name="Dezimal 2 2 5 3" xfId="778"/>
    <cellStyle name="Dezimal 2 2 5 4" xfId="1022"/>
    <cellStyle name="Dezimal 2 2 6" xfId="390"/>
    <cellStyle name="Dezimal 2 2 7" xfId="642"/>
    <cellStyle name="Dezimal 2 2 8" xfId="899"/>
    <cellStyle name="Dezimal 2 3" xfId="66"/>
    <cellStyle name="Dezimal 2 3 2" xfId="150"/>
    <cellStyle name="Dezimal 2 3 2 2" xfId="231"/>
    <cellStyle name="Dezimal 2 3 2 2 2" xfId="594"/>
    <cellStyle name="Dezimal 2 3 2 2 3" xfId="861"/>
    <cellStyle name="Dezimal 2 3 2 2 4" xfId="1105"/>
    <cellStyle name="Dezimal 2 3 2 3" xfId="352"/>
    <cellStyle name="Dezimal 2 3 2 4" xfId="473"/>
    <cellStyle name="Dezimal 2 3 2 5" xfId="740"/>
    <cellStyle name="Dezimal 2 3 2 6" xfId="984"/>
    <cellStyle name="Dezimal 2 3 3" xfId="189"/>
    <cellStyle name="Dezimal 2 3 3 2" xfId="311"/>
    <cellStyle name="Dezimal 2 3 3 2 2" xfId="553"/>
    <cellStyle name="Dezimal 2 3 3 2 3" xfId="820"/>
    <cellStyle name="Dezimal 2 3 3 2 4" xfId="1064"/>
    <cellStyle name="Dezimal 2 3 3 3" xfId="432"/>
    <cellStyle name="Dezimal 2 3 3 4" xfId="699"/>
    <cellStyle name="Dezimal 2 3 3 5" xfId="943"/>
    <cellStyle name="Dezimal 2 3 4" xfId="271"/>
    <cellStyle name="Dezimal 2 3 4 2" xfId="513"/>
    <cellStyle name="Dezimal 2 3 4 3" xfId="780"/>
    <cellStyle name="Dezimal 2 3 4 4" xfId="1024"/>
    <cellStyle name="Dezimal 2 3 5" xfId="392"/>
    <cellStyle name="Dezimal 2 3 6" xfId="644"/>
    <cellStyle name="Dezimal 2 3 7" xfId="901"/>
    <cellStyle name="Dezimal 2 4" xfId="67"/>
    <cellStyle name="Dezimal 2 4 2" xfId="151"/>
    <cellStyle name="Dezimal 2 4 2 2" xfId="232"/>
    <cellStyle name="Dezimal 2 4 2 2 2" xfId="595"/>
    <cellStyle name="Dezimal 2 4 2 2 3" xfId="862"/>
    <cellStyle name="Dezimal 2 4 2 2 4" xfId="1106"/>
    <cellStyle name="Dezimal 2 4 2 3" xfId="353"/>
    <cellStyle name="Dezimal 2 4 2 4" xfId="474"/>
    <cellStyle name="Dezimal 2 4 2 5" xfId="741"/>
    <cellStyle name="Dezimal 2 4 2 6" xfId="985"/>
    <cellStyle name="Dezimal 2 4 3" xfId="190"/>
    <cellStyle name="Dezimal 2 4 3 2" xfId="312"/>
    <cellStyle name="Dezimal 2 4 3 2 2" xfId="554"/>
    <cellStyle name="Dezimal 2 4 3 2 3" xfId="821"/>
    <cellStyle name="Dezimal 2 4 3 2 4" xfId="1065"/>
    <cellStyle name="Dezimal 2 4 3 3" xfId="433"/>
    <cellStyle name="Dezimal 2 4 3 4" xfId="700"/>
    <cellStyle name="Dezimal 2 4 3 5" xfId="944"/>
    <cellStyle name="Dezimal 2 4 4" xfId="272"/>
    <cellStyle name="Dezimal 2 4 4 2" xfId="514"/>
    <cellStyle name="Dezimal 2 4 4 3" xfId="781"/>
    <cellStyle name="Dezimal 2 4 4 4" xfId="1025"/>
    <cellStyle name="Dezimal 2 4 5" xfId="393"/>
    <cellStyle name="Dezimal 2 4 6" xfId="645"/>
    <cellStyle name="Dezimal 2 4 7" xfId="902"/>
    <cellStyle name="Dezimal 2 5" xfId="147"/>
    <cellStyle name="Dezimal 2 5 2" xfId="228"/>
    <cellStyle name="Dezimal 2 5 2 2" xfId="591"/>
    <cellStyle name="Dezimal 2 5 2 3" xfId="858"/>
    <cellStyle name="Dezimal 2 5 2 4" xfId="1102"/>
    <cellStyle name="Dezimal 2 5 3" xfId="349"/>
    <cellStyle name="Dezimal 2 5 4" xfId="470"/>
    <cellStyle name="Dezimal 2 5 5" xfId="737"/>
    <cellStyle name="Dezimal 2 5 6" xfId="981"/>
    <cellStyle name="Dezimal 2 6" xfId="191"/>
    <cellStyle name="Dezimal 2 6 2" xfId="308"/>
    <cellStyle name="Dezimal 2 6 2 2" xfId="550"/>
    <cellStyle name="Dezimal 2 6 2 3" xfId="817"/>
    <cellStyle name="Dezimal 2 6 2 4" xfId="1061"/>
    <cellStyle name="Dezimal 2 6 3" xfId="429"/>
    <cellStyle name="Dezimal 2 6 4" xfId="696"/>
    <cellStyle name="Dezimal 2 6 5" xfId="940"/>
    <cellStyle name="Dezimal 2 7" xfId="268"/>
    <cellStyle name="Dezimal 2 7 2" xfId="510"/>
    <cellStyle name="Dezimal 2 7 3" xfId="777"/>
    <cellStyle name="Dezimal 2 7 4" xfId="1021"/>
    <cellStyle name="Dezimal 2 8" xfId="389"/>
    <cellStyle name="Dezimal 2 9" xfId="641"/>
    <cellStyle name="Eingabe" xfId="68"/>
    <cellStyle name="Eingabe 10" xfId="69"/>
    <cellStyle name="Eingabe 11" xfId="646"/>
    <cellStyle name="Eingabe 2" xfId="70"/>
    <cellStyle name="Eingabe 2_2010-12-07 Kriterien Sanierung Verwaltung Schule Sozial" xfId="71"/>
    <cellStyle name="Eingabe 2_2010-12-07 Kriterien Sanierung Verwaltung Schule Sozial 2" xfId="1145"/>
    <cellStyle name="Eingabe 3" xfId="72"/>
    <cellStyle name="Eingabe 4" xfId="73"/>
    <cellStyle name="Eingabe 5" xfId="74"/>
    <cellStyle name="Eingabe 6" xfId="75"/>
    <cellStyle name="Eingabe 7" xfId="76"/>
    <cellStyle name="Eingabe 8" xfId="77"/>
    <cellStyle name="Eingabe 9" xfId="78"/>
    <cellStyle name="Ergebnis" xfId="79"/>
    <cellStyle name="Ergebnis 2" xfId="80"/>
    <cellStyle name="Ergebnis 3" xfId="647"/>
    <cellStyle name="Erklärender Text" xfId="81"/>
    <cellStyle name="Erklärender Text 2" xfId="82"/>
    <cellStyle name="Erklärender Text 3" xfId="648"/>
    <cellStyle name="Gut" xfId="83"/>
    <cellStyle name="Gut 2" xfId="84"/>
    <cellStyle name="Gut 3" xfId="649"/>
    <cellStyle name="Komma" xfId="86" builtinId="3"/>
    <cellStyle name="Komma 2" xfId="87"/>
    <cellStyle name="Komma 2 10" xfId="651"/>
    <cellStyle name="Komma 2 11" xfId="904"/>
    <cellStyle name="Komma 2 2" xfId="88"/>
    <cellStyle name="Komma 2 2 2" xfId="89"/>
    <cellStyle name="Komma 2 2 2 2" xfId="154"/>
    <cellStyle name="Komma 2 2 2 2 2" xfId="235"/>
    <cellStyle name="Komma 2 2 2 2 2 2" xfId="598"/>
    <cellStyle name="Komma 2 2 2 2 2 3" xfId="865"/>
    <cellStyle name="Komma 2 2 2 2 2 4" xfId="1109"/>
    <cellStyle name="Komma 2 2 2 2 3" xfId="356"/>
    <cellStyle name="Komma 2 2 2 2 4" xfId="477"/>
    <cellStyle name="Komma 2 2 2 2 5" xfId="744"/>
    <cellStyle name="Komma 2 2 2 2 6" xfId="988"/>
    <cellStyle name="Komma 2 2 2 3" xfId="192"/>
    <cellStyle name="Komma 2 2 2 3 2" xfId="315"/>
    <cellStyle name="Komma 2 2 2 3 2 2" xfId="557"/>
    <cellStyle name="Komma 2 2 2 3 2 3" xfId="824"/>
    <cellStyle name="Komma 2 2 2 3 2 4" xfId="1068"/>
    <cellStyle name="Komma 2 2 2 3 3" xfId="436"/>
    <cellStyle name="Komma 2 2 2 3 4" xfId="703"/>
    <cellStyle name="Komma 2 2 2 3 5" xfId="947"/>
    <cellStyle name="Komma 2 2 2 4" xfId="275"/>
    <cellStyle name="Komma 2 2 2 4 2" xfId="517"/>
    <cellStyle name="Komma 2 2 2 4 3" xfId="784"/>
    <cellStyle name="Komma 2 2 2 4 4" xfId="1028"/>
    <cellStyle name="Komma 2 2 2 5" xfId="396"/>
    <cellStyle name="Komma 2 2 2 6" xfId="653"/>
    <cellStyle name="Komma 2 2 2 7" xfId="906"/>
    <cellStyle name="Komma 2 2 3" xfId="153"/>
    <cellStyle name="Komma 2 2 3 2" xfId="234"/>
    <cellStyle name="Komma 2 2 3 2 2" xfId="597"/>
    <cellStyle name="Komma 2 2 3 2 3" xfId="864"/>
    <cellStyle name="Komma 2 2 3 2 4" xfId="1108"/>
    <cellStyle name="Komma 2 2 3 3" xfId="355"/>
    <cellStyle name="Komma 2 2 3 4" xfId="476"/>
    <cellStyle name="Komma 2 2 3 5" xfId="743"/>
    <cellStyle name="Komma 2 2 3 6" xfId="987"/>
    <cellStyle name="Komma 2 2 4" xfId="193"/>
    <cellStyle name="Komma 2 2 4 2" xfId="314"/>
    <cellStyle name="Komma 2 2 4 2 2" xfId="556"/>
    <cellStyle name="Komma 2 2 4 2 3" xfId="823"/>
    <cellStyle name="Komma 2 2 4 2 4" xfId="1067"/>
    <cellStyle name="Komma 2 2 4 3" xfId="435"/>
    <cellStyle name="Komma 2 2 4 4" xfId="702"/>
    <cellStyle name="Komma 2 2 4 5" xfId="946"/>
    <cellStyle name="Komma 2 2 5" xfId="274"/>
    <cellStyle name="Komma 2 2 5 2" xfId="516"/>
    <cellStyle name="Komma 2 2 5 3" xfId="783"/>
    <cellStyle name="Komma 2 2 5 4" xfId="1027"/>
    <cellStyle name="Komma 2 2 6" xfId="395"/>
    <cellStyle name="Komma 2 2 7" xfId="652"/>
    <cellStyle name="Komma 2 2 8" xfId="905"/>
    <cellStyle name="Komma 2 3" xfId="90"/>
    <cellStyle name="Komma 2 3 2" xfId="91"/>
    <cellStyle name="Komma 2 3 2 2" xfId="156"/>
    <cellStyle name="Komma 2 3 2 2 2" xfId="237"/>
    <cellStyle name="Komma 2 3 2 2 2 2" xfId="600"/>
    <cellStyle name="Komma 2 3 2 2 2 3" xfId="867"/>
    <cellStyle name="Komma 2 3 2 2 2 4" xfId="1111"/>
    <cellStyle name="Komma 2 3 2 2 3" xfId="358"/>
    <cellStyle name="Komma 2 3 2 2 4" xfId="479"/>
    <cellStyle name="Komma 2 3 2 2 5" xfId="746"/>
    <cellStyle name="Komma 2 3 2 2 6" xfId="990"/>
    <cellStyle name="Komma 2 3 2 3" xfId="194"/>
    <cellStyle name="Komma 2 3 2 3 2" xfId="317"/>
    <cellStyle name="Komma 2 3 2 3 2 2" xfId="559"/>
    <cellStyle name="Komma 2 3 2 3 2 3" xfId="826"/>
    <cellStyle name="Komma 2 3 2 3 2 4" xfId="1070"/>
    <cellStyle name="Komma 2 3 2 3 3" xfId="438"/>
    <cellStyle name="Komma 2 3 2 3 4" xfId="705"/>
    <cellStyle name="Komma 2 3 2 3 5" xfId="949"/>
    <cellStyle name="Komma 2 3 2 4" xfId="277"/>
    <cellStyle name="Komma 2 3 2 4 2" xfId="519"/>
    <cellStyle name="Komma 2 3 2 4 3" xfId="786"/>
    <cellStyle name="Komma 2 3 2 4 4" xfId="1030"/>
    <cellStyle name="Komma 2 3 2 5" xfId="398"/>
    <cellStyle name="Komma 2 3 2 6" xfId="655"/>
    <cellStyle name="Komma 2 3 2 7" xfId="908"/>
    <cellStyle name="Komma 2 3 3" xfId="155"/>
    <cellStyle name="Komma 2 3 3 2" xfId="236"/>
    <cellStyle name="Komma 2 3 3 2 2" xfId="599"/>
    <cellStyle name="Komma 2 3 3 2 3" xfId="866"/>
    <cellStyle name="Komma 2 3 3 2 4" xfId="1110"/>
    <cellStyle name="Komma 2 3 3 3" xfId="357"/>
    <cellStyle name="Komma 2 3 3 4" xfId="478"/>
    <cellStyle name="Komma 2 3 3 5" xfId="745"/>
    <cellStyle name="Komma 2 3 3 6" xfId="989"/>
    <cellStyle name="Komma 2 3 4" xfId="195"/>
    <cellStyle name="Komma 2 3 4 2" xfId="316"/>
    <cellStyle name="Komma 2 3 4 2 2" xfId="558"/>
    <cellStyle name="Komma 2 3 4 2 3" xfId="825"/>
    <cellStyle name="Komma 2 3 4 2 4" xfId="1069"/>
    <cellStyle name="Komma 2 3 4 3" xfId="437"/>
    <cellStyle name="Komma 2 3 4 4" xfId="704"/>
    <cellStyle name="Komma 2 3 4 5" xfId="948"/>
    <cellStyle name="Komma 2 3 5" xfId="276"/>
    <cellStyle name="Komma 2 3 5 2" xfId="518"/>
    <cellStyle name="Komma 2 3 5 3" xfId="785"/>
    <cellStyle name="Komma 2 3 5 4" xfId="1029"/>
    <cellStyle name="Komma 2 3 6" xfId="397"/>
    <cellStyle name="Komma 2 3 7" xfId="654"/>
    <cellStyle name="Komma 2 3 8" xfId="907"/>
    <cellStyle name="Komma 2 4" xfId="92"/>
    <cellStyle name="Komma 2 4 2" xfId="157"/>
    <cellStyle name="Komma 2 4 2 2" xfId="238"/>
    <cellStyle name="Komma 2 4 2 2 2" xfId="601"/>
    <cellStyle name="Komma 2 4 2 2 3" xfId="868"/>
    <cellStyle name="Komma 2 4 2 2 4" xfId="1112"/>
    <cellStyle name="Komma 2 4 2 3" xfId="359"/>
    <cellStyle name="Komma 2 4 2 4" xfId="480"/>
    <cellStyle name="Komma 2 4 2 5" xfId="747"/>
    <cellStyle name="Komma 2 4 2 6" xfId="991"/>
    <cellStyle name="Komma 2 4 3" xfId="196"/>
    <cellStyle name="Komma 2 4 3 2" xfId="318"/>
    <cellStyle name="Komma 2 4 3 2 2" xfId="560"/>
    <cellStyle name="Komma 2 4 3 2 3" xfId="827"/>
    <cellStyle name="Komma 2 4 3 2 4" xfId="1071"/>
    <cellStyle name="Komma 2 4 3 3" xfId="439"/>
    <cellStyle name="Komma 2 4 3 4" xfId="706"/>
    <cellStyle name="Komma 2 4 3 5" xfId="950"/>
    <cellStyle name="Komma 2 4 4" xfId="278"/>
    <cellStyle name="Komma 2 4 4 2" xfId="520"/>
    <cellStyle name="Komma 2 4 4 3" xfId="787"/>
    <cellStyle name="Komma 2 4 4 4" xfId="1031"/>
    <cellStyle name="Komma 2 4 5" xfId="399"/>
    <cellStyle name="Komma 2 4 6" xfId="656"/>
    <cellStyle name="Komma 2 4 7" xfId="909"/>
    <cellStyle name="Komma 2 5" xfId="93"/>
    <cellStyle name="Komma 2 5 2" xfId="158"/>
    <cellStyle name="Komma 2 5 2 2" xfId="239"/>
    <cellStyle name="Komma 2 5 2 2 2" xfId="602"/>
    <cellStyle name="Komma 2 5 2 2 3" xfId="869"/>
    <cellStyle name="Komma 2 5 2 2 4" xfId="1113"/>
    <cellStyle name="Komma 2 5 2 3" xfId="360"/>
    <cellStyle name="Komma 2 5 2 4" xfId="481"/>
    <cellStyle name="Komma 2 5 2 5" xfId="748"/>
    <cellStyle name="Komma 2 5 2 6" xfId="992"/>
    <cellStyle name="Komma 2 5 3" xfId="197"/>
    <cellStyle name="Komma 2 5 3 2" xfId="319"/>
    <cellStyle name="Komma 2 5 3 2 2" xfId="561"/>
    <cellStyle name="Komma 2 5 3 2 3" xfId="828"/>
    <cellStyle name="Komma 2 5 3 2 4" xfId="1072"/>
    <cellStyle name="Komma 2 5 3 3" xfId="440"/>
    <cellStyle name="Komma 2 5 3 4" xfId="707"/>
    <cellStyle name="Komma 2 5 3 5" xfId="951"/>
    <cellStyle name="Komma 2 5 4" xfId="279"/>
    <cellStyle name="Komma 2 5 4 2" xfId="521"/>
    <cellStyle name="Komma 2 5 4 3" xfId="788"/>
    <cellStyle name="Komma 2 5 4 4" xfId="1032"/>
    <cellStyle name="Komma 2 5 5" xfId="400"/>
    <cellStyle name="Komma 2 5 6" xfId="657"/>
    <cellStyle name="Komma 2 5 7" xfId="910"/>
    <cellStyle name="Komma 2 6" xfId="152"/>
    <cellStyle name="Komma 2 6 2" xfId="233"/>
    <cellStyle name="Komma 2 6 2 2" xfId="596"/>
    <cellStyle name="Komma 2 6 2 3" xfId="863"/>
    <cellStyle name="Komma 2 6 2 4" xfId="1107"/>
    <cellStyle name="Komma 2 6 3" xfId="354"/>
    <cellStyle name="Komma 2 6 4" xfId="475"/>
    <cellStyle name="Komma 2 6 5" xfId="742"/>
    <cellStyle name="Komma 2 6 6" xfId="986"/>
    <cellStyle name="Komma 2 7" xfId="198"/>
    <cellStyle name="Komma 2 7 2" xfId="313"/>
    <cellStyle name="Komma 2 7 2 2" xfId="555"/>
    <cellStyle name="Komma 2 7 2 3" xfId="822"/>
    <cellStyle name="Komma 2 7 2 4" xfId="1066"/>
    <cellStyle name="Komma 2 7 3" xfId="434"/>
    <cellStyle name="Komma 2 7 4" xfId="701"/>
    <cellStyle name="Komma 2 7 5" xfId="945"/>
    <cellStyle name="Komma 2 8" xfId="273"/>
    <cellStyle name="Komma 2 8 2" xfId="515"/>
    <cellStyle name="Komma 2 8 3" xfId="782"/>
    <cellStyle name="Komma 2 8 4" xfId="1026"/>
    <cellStyle name="Komma 2 9" xfId="394"/>
    <cellStyle name="Komma 3" xfId="94"/>
    <cellStyle name="Komma 3 2" xfId="911"/>
    <cellStyle name="Komma 4" xfId="650"/>
    <cellStyle name="Komma 5" xfId="903"/>
    <cellStyle name="Link" xfId="85" builtinId="8"/>
    <cellStyle name="Notiz" xfId="95"/>
    <cellStyle name="Notiz 2" xfId="96"/>
    <cellStyle name="Notiz 3" xfId="658"/>
    <cellStyle name="Prozent 2" xfId="97"/>
    <cellStyle name="Prozent 2 10" xfId="659"/>
    <cellStyle name="Prozent 2 11" xfId="912"/>
    <cellStyle name="Prozent 2 2" xfId="98"/>
    <cellStyle name="Prozent 2 2 2" xfId="99"/>
    <cellStyle name="Prozent 2 2 2 2" xfId="161"/>
    <cellStyle name="Prozent 2 2 2 2 2" xfId="242"/>
    <cellStyle name="Prozent 2 2 2 2 2 2" xfId="605"/>
    <cellStyle name="Prozent 2 2 2 2 2 3" xfId="872"/>
    <cellStyle name="Prozent 2 2 2 2 2 4" xfId="1116"/>
    <cellStyle name="Prozent 2 2 2 2 3" xfId="363"/>
    <cellStyle name="Prozent 2 2 2 2 4" xfId="484"/>
    <cellStyle name="Prozent 2 2 2 2 5" xfId="751"/>
    <cellStyle name="Prozent 2 2 2 2 6" xfId="995"/>
    <cellStyle name="Prozent 2 2 2 3" xfId="199"/>
    <cellStyle name="Prozent 2 2 2 3 2" xfId="322"/>
    <cellStyle name="Prozent 2 2 2 3 2 2" xfId="564"/>
    <cellStyle name="Prozent 2 2 2 3 2 3" xfId="831"/>
    <cellStyle name="Prozent 2 2 2 3 2 4" xfId="1075"/>
    <cellStyle name="Prozent 2 2 2 3 3" xfId="443"/>
    <cellStyle name="Prozent 2 2 2 3 4" xfId="710"/>
    <cellStyle name="Prozent 2 2 2 3 5" xfId="954"/>
    <cellStyle name="Prozent 2 2 2 4" xfId="282"/>
    <cellStyle name="Prozent 2 2 2 4 2" xfId="524"/>
    <cellStyle name="Prozent 2 2 2 4 3" xfId="791"/>
    <cellStyle name="Prozent 2 2 2 4 4" xfId="1035"/>
    <cellStyle name="Prozent 2 2 2 5" xfId="403"/>
    <cellStyle name="Prozent 2 2 2 6" xfId="661"/>
    <cellStyle name="Prozent 2 2 2 7" xfId="914"/>
    <cellStyle name="Prozent 2 2 3" xfId="160"/>
    <cellStyle name="Prozent 2 2 3 2" xfId="241"/>
    <cellStyle name="Prozent 2 2 3 2 2" xfId="604"/>
    <cellStyle name="Prozent 2 2 3 2 3" xfId="871"/>
    <cellStyle name="Prozent 2 2 3 2 4" xfId="1115"/>
    <cellStyle name="Prozent 2 2 3 3" xfId="362"/>
    <cellStyle name="Prozent 2 2 3 4" xfId="483"/>
    <cellStyle name="Prozent 2 2 3 5" xfId="750"/>
    <cellStyle name="Prozent 2 2 3 6" xfId="994"/>
    <cellStyle name="Prozent 2 2 4" xfId="200"/>
    <cellStyle name="Prozent 2 2 4 2" xfId="321"/>
    <cellStyle name="Prozent 2 2 4 2 2" xfId="563"/>
    <cellStyle name="Prozent 2 2 4 2 3" xfId="830"/>
    <cellStyle name="Prozent 2 2 4 2 4" xfId="1074"/>
    <cellStyle name="Prozent 2 2 4 3" xfId="442"/>
    <cellStyle name="Prozent 2 2 4 4" xfId="709"/>
    <cellStyle name="Prozent 2 2 4 5" xfId="953"/>
    <cellStyle name="Prozent 2 2 5" xfId="281"/>
    <cellStyle name="Prozent 2 2 5 2" xfId="523"/>
    <cellStyle name="Prozent 2 2 5 3" xfId="790"/>
    <cellStyle name="Prozent 2 2 5 4" xfId="1034"/>
    <cellStyle name="Prozent 2 2 6" xfId="402"/>
    <cellStyle name="Prozent 2 2 7" xfId="660"/>
    <cellStyle name="Prozent 2 2 8" xfId="913"/>
    <cellStyle name="Prozent 2 3" xfId="100"/>
    <cellStyle name="Prozent 2 3 2" xfId="101"/>
    <cellStyle name="Prozent 2 3 2 2" xfId="163"/>
    <cellStyle name="Prozent 2 3 2 2 2" xfId="244"/>
    <cellStyle name="Prozent 2 3 2 2 2 2" xfId="607"/>
    <cellStyle name="Prozent 2 3 2 2 2 3" xfId="874"/>
    <cellStyle name="Prozent 2 3 2 2 2 4" xfId="1118"/>
    <cellStyle name="Prozent 2 3 2 2 3" xfId="365"/>
    <cellStyle name="Prozent 2 3 2 2 4" xfId="486"/>
    <cellStyle name="Prozent 2 3 2 2 5" xfId="753"/>
    <cellStyle name="Prozent 2 3 2 2 6" xfId="997"/>
    <cellStyle name="Prozent 2 3 2 3" xfId="201"/>
    <cellStyle name="Prozent 2 3 2 3 2" xfId="324"/>
    <cellStyle name="Prozent 2 3 2 3 2 2" xfId="566"/>
    <cellStyle name="Prozent 2 3 2 3 2 3" xfId="833"/>
    <cellStyle name="Prozent 2 3 2 3 2 4" xfId="1077"/>
    <cellStyle name="Prozent 2 3 2 3 3" xfId="445"/>
    <cellStyle name="Prozent 2 3 2 3 4" xfId="712"/>
    <cellStyle name="Prozent 2 3 2 3 5" xfId="956"/>
    <cellStyle name="Prozent 2 3 2 4" xfId="284"/>
    <cellStyle name="Prozent 2 3 2 4 2" xfId="526"/>
    <cellStyle name="Prozent 2 3 2 4 3" xfId="793"/>
    <cellStyle name="Prozent 2 3 2 4 4" xfId="1037"/>
    <cellStyle name="Prozent 2 3 2 5" xfId="405"/>
    <cellStyle name="Prozent 2 3 2 6" xfId="663"/>
    <cellStyle name="Prozent 2 3 2 7" xfId="916"/>
    <cellStyle name="Prozent 2 3 3" xfId="162"/>
    <cellStyle name="Prozent 2 3 3 2" xfId="243"/>
    <cellStyle name="Prozent 2 3 3 2 2" xfId="606"/>
    <cellStyle name="Prozent 2 3 3 2 3" xfId="873"/>
    <cellStyle name="Prozent 2 3 3 2 4" xfId="1117"/>
    <cellStyle name="Prozent 2 3 3 3" xfId="364"/>
    <cellStyle name="Prozent 2 3 3 4" xfId="485"/>
    <cellStyle name="Prozent 2 3 3 5" xfId="752"/>
    <cellStyle name="Prozent 2 3 3 6" xfId="996"/>
    <cellStyle name="Prozent 2 3 4" xfId="202"/>
    <cellStyle name="Prozent 2 3 4 2" xfId="323"/>
    <cellStyle name="Prozent 2 3 4 2 2" xfId="565"/>
    <cellStyle name="Prozent 2 3 4 2 3" xfId="832"/>
    <cellStyle name="Prozent 2 3 4 2 4" xfId="1076"/>
    <cellStyle name="Prozent 2 3 4 3" xfId="444"/>
    <cellStyle name="Prozent 2 3 4 4" xfId="711"/>
    <cellStyle name="Prozent 2 3 4 5" xfId="955"/>
    <cellStyle name="Prozent 2 3 5" xfId="283"/>
    <cellStyle name="Prozent 2 3 5 2" xfId="525"/>
    <cellStyle name="Prozent 2 3 5 3" xfId="792"/>
    <cellStyle name="Prozent 2 3 5 4" xfId="1036"/>
    <cellStyle name="Prozent 2 3 6" xfId="404"/>
    <cellStyle name="Prozent 2 3 7" xfId="662"/>
    <cellStyle name="Prozent 2 3 8" xfId="915"/>
    <cellStyle name="Prozent 2 4" xfId="102"/>
    <cellStyle name="Prozent 2 4 2" xfId="164"/>
    <cellStyle name="Prozent 2 4 2 2" xfId="245"/>
    <cellStyle name="Prozent 2 4 2 2 2" xfId="608"/>
    <cellStyle name="Prozent 2 4 2 2 3" xfId="875"/>
    <cellStyle name="Prozent 2 4 2 2 4" xfId="1119"/>
    <cellStyle name="Prozent 2 4 2 3" xfId="366"/>
    <cellStyle name="Prozent 2 4 2 4" xfId="487"/>
    <cellStyle name="Prozent 2 4 2 5" xfId="754"/>
    <cellStyle name="Prozent 2 4 2 6" xfId="998"/>
    <cellStyle name="Prozent 2 4 3" xfId="203"/>
    <cellStyle name="Prozent 2 4 3 2" xfId="325"/>
    <cellStyle name="Prozent 2 4 3 2 2" xfId="567"/>
    <cellStyle name="Prozent 2 4 3 2 3" xfId="834"/>
    <cellStyle name="Prozent 2 4 3 2 4" xfId="1078"/>
    <cellStyle name="Prozent 2 4 3 3" xfId="446"/>
    <cellStyle name="Prozent 2 4 3 4" xfId="713"/>
    <cellStyle name="Prozent 2 4 3 5" xfId="957"/>
    <cellStyle name="Prozent 2 4 4" xfId="285"/>
    <cellStyle name="Prozent 2 4 4 2" xfId="527"/>
    <cellStyle name="Prozent 2 4 4 3" xfId="794"/>
    <cellStyle name="Prozent 2 4 4 4" xfId="1038"/>
    <cellStyle name="Prozent 2 4 5" xfId="406"/>
    <cellStyle name="Prozent 2 4 6" xfId="664"/>
    <cellStyle name="Prozent 2 4 7" xfId="917"/>
    <cellStyle name="Prozent 2 5" xfId="103"/>
    <cellStyle name="Prozent 2 5 2" xfId="165"/>
    <cellStyle name="Prozent 2 5 2 2" xfId="246"/>
    <cellStyle name="Prozent 2 5 2 2 2" xfId="609"/>
    <cellStyle name="Prozent 2 5 2 2 3" xfId="876"/>
    <cellStyle name="Prozent 2 5 2 2 4" xfId="1120"/>
    <cellStyle name="Prozent 2 5 2 3" xfId="367"/>
    <cellStyle name="Prozent 2 5 2 4" xfId="488"/>
    <cellStyle name="Prozent 2 5 2 5" xfId="755"/>
    <cellStyle name="Prozent 2 5 2 6" xfId="999"/>
    <cellStyle name="Prozent 2 5 3" xfId="204"/>
    <cellStyle name="Prozent 2 5 3 2" xfId="326"/>
    <cellStyle name="Prozent 2 5 3 2 2" xfId="568"/>
    <cellStyle name="Prozent 2 5 3 2 3" xfId="835"/>
    <cellStyle name="Prozent 2 5 3 2 4" xfId="1079"/>
    <cellStyle name="Prozent 2 5 3 3" xfId="447"/>
    <cellStyle name="Prozent 2 5 3 4" xfId="714"/>
    <cellStyle name="Prozent 2 5 3 5" xfId="958"/>
    <cellStyle name="Prozent 2 5 4" xfId="286"/>
    <cellStyle name="Prozent 2 5 4 2" xfId="528"/>
    <cellStyle name="Prozent 2 5 4 3" xfId="795"/>
    <cellStyle name="Prozent 2 5 4 4" xfId="1039"/>
    <cellStyle name="Prozent 2 5 5" xfId="407"/>
    <cellStyle name="Prozent 2 5 6" xfId="665"/>
    <cellStyle name="Prozent 2 5 7" xfId="918"/>
    <cellStyle name="Prozent 2 6" xfId="159"/>
    <cellStyle name="Prozent 2 6 2" xfId="240"/>
    <cellStyle name="Prozent 2 6 2 2" xfId="603"/>
    <cellStyle name="Prozent 2 6 2 3" xfId="870"/>
    <cellStyle name="Prozent 2 6 2 4" xfId="1114"/>
    <cellStyle name="Prozent 2 6 3" xfId="361"/>
    <cellStyle name="Prozent 2 6 4" xfId="482"/>
    <cellStyle name="Prozent 2 6 5" xfId="749"/>
    <cellStyle name="Prozent 2 6 6" xfId="993"/>
    <cellStyle name="Prozent 2 7" xfId="205"/>
    <cellStyle name="Prozent 2 7 2" xfId="320"/>
    <cellStyle name="Prozent 2 7 2 2" xfId="562"/>
    <cellStyle name="Prozent 2 7 2 3" xfId="829"/>
    <cellStyle name="Prozent 2 7 2 4" xfId="1073"/>
    <cellStyle name="Prozent 2 7 3" xfId="441"/>
    <cellStyle name="Prozent 2 7 4" xfId="708"/>
    <cellStyle name="Prozent 2 7 5" xfId="952"/>
    <cellStyle name="Prozent 2 8" xfId="280"/>
    <cellStyle name="Prozent 2 8 2" xfId="522"/>
    <cellStyle name="Prozent 2 8 3" xfId="789"/>
    <cellStyle name="Prozent 2 8 4" xfId="1033"/>
    <cellStyle name="Prozent 2 9" xfId="401"/>
    <cellStyle name="Prozent 3" xfId="104"/>
    <cellStyle name="Schlecht" xfId="105"/>
    <cellStyle name="Schlecht 2" xfId="106"/>
    <cellStyle name="Schlecht 3" xfId="666"/>
    <cellStyle name="Standard" xfId="0" builtinId="0"/>
    <cellStyle name="Standard 2" xfId="107"/>
    <cellStyle name="Standard 2 2" xfId="1153"/>
    <cellStyle name="Standard 3" xfId="108"/>
    <cellStyle name="Standard 3 10" xfId="408"/>
    <cellStyle name="Standard 3 10 2" xfId="1148"/>
    <cellStyle name="Standard 3 10 3" xfId="1151"/>
    <cellStyle name="Standard 3 11" xfId="667"/>
    <cellStyle name="Standard 3 12" xfId="919"/>
    <cellStyle name="Standard 3 13" xfId="1146"/>
    <cellStyle name="Standard 3 2" xfId="109"/>
    <cellStyle name="Standard 3 2 10" xfId="668"/>
    <cellStyle name="Standard 3 2 11" xfId="920"/>
    <cellStyle name="Standard 3 2 2" xfId="110"/>
    <cellStyle name="Standard 3 2 2 2" xfId="111"/>
    <cellStyle name="Standard 3 2 2 2 2" xfId="169"/>
    <cellStyle name="Standard 3 2 2 2 2 2" xfId="250"/>
    <cellStyle name="Standard 3 2 2 2 2 2 2" xfId="613"/>
    <cellStyle name="Standard 3 2 2 2 2 2 3" xfId="880"/>
    <cellStyle name="Standard 3 2 2 2 2 2 4" xfId="1124"/>
    <cellStyle name="Standard 3 2 2 2 2 3" xfId="371"/>
    <cellStyle name="Standard 3 2 2 2 2 3 2" xfId="1149"/>
    <cellStyle name="Standard 3 2 2 2 2 3 3" xfId="1152"/>
    <cellStyle name="Standard 3 2 2 2 2 4" xfId="492"/>
    <cellStyle name="Standard 3 2 2 2 2 5" xfId="759"/>
    <cellStyle name="Standard 3 2 2 2 2 6" xfId="1003"/>
    <cellStyle name="Standard 3 2 2 2 2 7" xfId="1147"/>
    <cellStyle name="Standard 3 2 2 2 3" xfId="206"/>
    <cellStyle name="Standard 3 2 2 2 3 2" xfId="330"/>
    <cellStyle name="Standard 3 2 2 2 3 2 2" xfId="572"/>
    <cellStyle name="Standard 3 2 2 2 3 2 3" xfId="839"/>
    <cellStyle name="Standard 3 2 2 2 3 2 4" xfId="1083"/>
    <cellStyle name="Standard 3 2 2 2 3 3" xfId="451"/>
    <cellStyle name="Standard 3 2 2 2 3 4" xfId="718"/>
    <cellStyle name="Standard 3 2 2 2 3 5" xfId="962"/>
    <cellStyle name="Standard 3 2 2 2 4" xfId="290"/>
    <cellStyle name="Standard 3 2 2 2 4 2" xfId="532"/>
    <cellStyle name="Standard 3 2 2 2 4 3" xfId="799"/>
    <cellStyle name="Standard 3 2 2 2 4 4" xfId="1043"/>
    <cellStyle name="Standard 3 2 2 2 5" xfId="411"/>
    <cellStyle name="Standard 3 2 2 2 6" xfId="670"/>
    <cellStyle name="Standard 3 2 2 2 7" xfId="922"/>
    <cellStyle name="Standard 3 2 2 3" xfId="168"/>
    <cellStyle name="Standard 3 2 2 3 2" xfId="249"/>
    <cellStyle name="Standard 3 2 2 3 2 2" xfId="612"/>
    <cellStyle name="Standard 3 2 2 3 2 3" xfId="879"/>
    <cellStyle name="Standard 3 2 2 3 2 4" xfId="1123"/>
    <cellStyle name="Standard 3 2 2 3 3" xfId="370"/>
    <cellStyle name="Standard 3 2 2 3 4" xfId="491"/>
    <cellStyle name="Standard 3 2 2 3 5" xfId="758"/>
    <cellStyle name="Standard 3 2 2 3 6" xfId="1002"/>
    <cellStyle name="Standard 3 2 2 4" xfId="207"/>
    <cellStyle name="Standard 3 2 2 4 2" xfId="329"/>
    <cellStyle name="Standard 3 2 2 4 2 2" xfId="571"/>
    <cellStyle name="Standard 3 2 2 4 2 3" xfId="838"/>
    <cellStyle name="Standard 3 2 2 4 2 4" xfId="1082"/>
    <cellStyle name="Standard 3 2 2 4 3" xfId="450"/>
    <cellStyle name="Standard 3 2 2 4 4" xfId="717"/>
    <cellStyle name="Standard 3 2 2 4 5" xfId="961"/>
    <cellStyle name="Standard 3 2 2 5" xfId="289"/>
    <cellStyle name="Standard 3 2 2 5 2" xfId="531"/>
    <cellStyle name="Standard 3 2 2 5 3" xfId="798"/>
    <cellStyle name="Standard 3 2 2 5 4" xfId="1042"/>
    <cellStyle name="Standard 3 2 2 6" xfId="410"/>
    <cellStyle name="Standard 3 2 2 7" xfId="669"/>
    <cellStyle name="Standard 3 2 2 8" xfId="921"/>
    <cellStyle name="Standard 3 2 3" xfId="112"/>
    <cellStyle name="Standard 3 2 3 2" xfId="113"/>
    <cellStyle name="Standard 3 2 3 2 2" xfId="171"/>
    <cellStyle name="Standard 3 2 3 2 2 2" xfId="252"/>
    <cellStyle name="Standard 3 2 3 2 2 2 2" xfId="615"/>
    <cellStyle name="Standard 3 2 3 2 2 2 3" xfId="882"/>
    <cellStyle name="Standard 3 2 3 2 2 2 4" xfId="1126"/>
    <cellStyle name="Standard 3 2 3 2 2 3" xfId="373"/>
    <cellStyle name="Standard 3 2 3 2 2 4" xfId="494"/>
    <cellStyle name="Standard 3 2 3 2 2 5" xfId="761"/>
    <cellStyle name="Standard 3 2 3 2 2 6" xfId="1005"/>
    <cellStyle name="Standard 3 2 3 2 3" xfId="208"/>
    <cellStyle name="Standard 3 2 3 2 3 2" xfId="332"/>
    <cellStyle name="Standard 3 2 3 2 3 2 2" xfId="574"/>
    <cellStyle name="Standard 3 2 3 2 3 2 3" xfId="841"/>
    <cellStyle name="Standard 3 2 3 2 3 2 4" xfId="1085"/>
    <cellStyle name="Standard 3 2 3 2 3 3" xfId="453"/>
    <cellStyle name="Standard 3 2 3 2 3 4" xfId="720"/>
    <cellStyle name="Standard 3 2 3 2 3 5" xfId="964"/>
    <cellStyle name="Standard 3 2 3 2 4" xfId="292"/>
    <cellStyle name="Standard 3 2 3 2 4 2" xfId="534"/>
    <cellStyle name="Standard 3 2 3 2 4 3" xfId="801"/>
    <cellStyle name="Standard 3 2 3 2 4 4" xfId="1045"/>
    <cellStyle name="Standard 3 2 3 2 5" xfId="413"/>
    <cellStyle name="Standard 3 2 3 2 6" xfId="672"/>
    <cellStyle name="Standard 3 2 3 2 7" xfId="924"/>
    <cellStyle name="Standard 3 2 3 3" xfId="170"/>
    <cellStyle name="Standard 3 2 3 3 2" xfId="251"/>
    <cellStyle name="Standard 3 2 3 3 2 2" xfId="614"/>
    <cellStyle name="Standard 3 2 3 3 2 3" xfId="881"/>
    <cellStyle name="Standard 3 2 3 3 2 4" xfId="1125"/>
    <cellStyle name="Standard 3 2 3 3 3" xfId="372"/>
    <cellStyle name="Standard 3 2 3 3 4" xfId="493"/>
    <cellStyle name="Standard 3 2 3 3 5" xfId="760"/>
    <cellStyle name="Standard 3 2 3 3 6" xfId="1004"/>
    <cellStyle name="Standard 3 2 3 4" xfId="209"/>
    <cellStyle name="Standard 3 2 3 4 2" xfId="331"/>
    <cellStyle name="Standard 3 2 3 4 2 2" xfId="573"/>
    <cellStyle name="Standard 3 2 3 4 2 3" xfId="840"/>
    <cellStyle name="Standard 3 2 3 4 2 4" xfId="1084"/>
    <cellStyle name="Standard 3 2 3 4 3" xfId="452"/>
    <cellStyle name="Standard 3 2 3 4 4" xfId="719"/>
    <cellStyle name="Standard 3 2 3 4 5" xfId="963"/>
    <cellStyle name="Standard 3 2 3 5" xfId="291"/>
    <cellStyle name="Standard 3 2 3 5 2" xfId="533"/>
    <cellStyle name="Standard 3 2 3 5 3" xfId="800"/>
    <cellStyle name="Standard 3 2 3 5 4" xfId="1044"/>
    <cellStyle name="Standard 3 2 3 6" xfId="412"/>
    <cellStyle name="Standard 3 2 3 7" xfId="671"/>
    <cellStyle name="Standard 3 2 3 8" xfId="923"/>
    <cellStyle name="Standard 3 2 4" xfId="114"/>
    <cellStyle name="Standard 3 2 4 2" xfId="172"/>
    <cellStyle name="Standard 3 2 4 2 2" xfId="253"/>
    <cellStyle name="Standard 3 2 4 2 2 2" xfId="616"/>
    <cellStyle name="Standard 3 2 4 2 2 3" xfId="883"/>
    <cellStyle name="Standard 3 2 4 2 2 4" xfId="1127"/>
    <cellStyle name="Standard 3 2 4 2 3" xfId="374"/>
    <cellStyle name="Standard 3 2 4 2 4" xfId="495"/>
    <cellStyle name="Standard 3 2 4 2 5" xfId="762"/>
    <cellStyle name="Standard 3 2 4 2 6" xfId="1006"/>
    <cellStyle name="Standard 3 2 4 3" xfId="210"/>
    <cellStyle name="Standard 3 2 4 3 2" xfId="333"/>
    <cellStyle name="Standard 3 2 4 3 2 2" xfId="575"/>
    <cellStyle name="Standard 3 2 4 3 2 3" xfId="842"/>
    <cellStyle name="Standard 3 2 4 3 2 4" xfId="1086"/>
    <cellStyle name="Standard 3 2 4 3 3" xfId="454"/>
    <cellStyle name="Standard 3 2 4 3 4" xfId="721"/>
    <cellStyle name="Standard 3 2 4 3 5" xfId="965"/>
    <cellStyle name="Standard 3 2 4 4" xfId="293"/>
    <cellStyle name="Standard 3 2 4 4 2" xfId="535"/>
    <cellStyle name="Standard 3 2 4 4 3" xfId="802"/>
    <cellStyle name="Standard 3 2 4 4 4" xfId="1046"/>
    <cellStyle name="Standard 3 2 4 5" xfId="414"/>
    <cellStyle name="Standard 3 2 4 6" xfId="673"/>
    <cellStyle name="Standard 3 2 4 7" xfId="925"/>
    <cellStyle name="Standard 3 2 5" xfId="115"/>
    <cellStyle name="Standard 3 2 5 2" xfId="173"/>
    <cellStyle name="Standard 3 2 5 2 2" xfId="254"/>
    <cellStyle name="Standard 3 2 5 2 2 2" xfId="617"/>
    <cellStyle name="Standard 3 2 5 2 2 3" xfId="884"/>
    <cellStyle name="Standard 3 2 5 2 2 4" xfId="1128"/>
    <cellStyle name="Standard 3 2 5 2 3" xfId="375"/>
    <cellStyle name="Standard 3 2 5 2 4" xfId="496"/>
    <cellStyle name="Standard 3 2 5 2 5" xfId="763"/>
    <cellStyle name="Standard 3 2 5 2 6" xfId="1007"/>
    <cellStyle name="Standard 3 2 5 3" xfId="211"/>
    <cellStyle name="Standard 3 2 5 3 2" xfId="334"/>
    <cellStyle name="Standard 3 2 5 3 2 2" xfId="576"/>
    <cellStyle name="Standard 3 2 5 3 2 3" xfId="843"/>
    <cellStyle name="Standard 3 2 5 3 2 4" xfId="1087"/>
    <cellStyle name="Standard 3 2 5 3 3" xfId="455"/>
    <cellStyle name="Standard 3 2 5 3 4" xfId="722"/>
    <cellStyle name="Standard 3 2 5 3 5" xfId="966"/>
    <cellStyle name="Standard 3 2 5 4" xfId="294"/>
    <cellStyle name="Standard 3 2 5 4 2" xfId="536"/>
    <cellStyle name="Standard 3 2 5 4 3" xfId="803"/>
    <cellStyle name="Standard 3 2 5 4 4" xfId="1047"/>
    <cellStyle name="Standard 3 2 5 5" xfId="415"/>
    <cellStyle name="Standard 3 2 5 6" xfId="674"/>
    <cellStyle name="Standard 3 2 5 7" xfId="926"/>
    <cellStyle name="Standard 3 2 6" xfId="167"/>
    <cellStyle name="Standard 3 2 6 2" xfId="248"/>
    <cellStyle name="Standard 3 2 6 2 2" xfId="611"/>
    <cellStyle name="Standard 3 2 6 2 3" xfId="878"/>
    <cellStyle name="Standard 3 2 6 2 4" xfId="1122"/>
    <cellStyle name="Standard 3 2 6 3" xfId="369"/>
    <cellStyle name="Standard 3 2 6 4" xfId="490"/>
    <cellStyle name="Standard 3 2 6 5" xfId="757"/>
    <cellStyle name="Standard 3 2 6 6" xfId="1001"/>
    <cellStyle name="Standard 3 2 7" xfId="212"/>
    <cellStyle name="Standard 3 2 7 2" xfId="328"/>
    <cellStyle name="Standard 3 2 7 2 2" xfId="570"/>
    <cellStyle name="Standard 3 2 7 2 3" xfId="837"/>
    <cellStyle name="Standard 3 2 7 2 4" xfId="1081"/>
    <cellStyle name="Standard 3 2 7 3" xfId="449"/>
    <cellStyle name="Standard 3 2 7 4" xfId="716"/>
    <cellStyle name="Standard 3 2 7 5" xfId="960"/>
    <cellStyle name="Standard 3 2 8" xfId="288"/>
    <cellStyle name="Standard 3 2 8 2" xfId="530"/>
    <cellStyle name="Standard 3 2 8 3" xfId="797"/>
    <cellStyle name="Standard 3 2 8 4" xfId="1041"/>
    <cellStyle name="Standard 3 2 9" xfId="409"/>
    <cellStyle name="Standard 3 3" xfId="116"/>
    <cellStyle name="Standard 3 3 2" xfId="117"/>
    <cellStyle name="Standard 3 3 2 2" xfId="175"/>
    <cellStyle name="Standard 3 3 2 2 2" xfId="256"/>
    <cellStyle name="Standard 3 3 2 2 2 2" xfId="619"/>
    <cellStyle name="Standard 3 3 2 2 2 3" xfId="886"/>
    <cellStyle name="Standard 3 3 2 2 2 4" xfId="1130"/>
    <cellStyle name="Standard 3 3 2 2 3" xfId="377"/>
    <cellStyle name="Standard 3 3 2 2 4" xfId="498"/>
    <cellStyle name="Standard 3 3 2 2 5" xfId="765"/>
    <cellStyle name="Standard 3 3 2 2 6" xfId="1009"/>
    <cellStyle name="Standard 3 3 2 3" xfId="213"/>
    <cellStyle name="Standard 3 3 2 3 2" xfId="336"/>
    <cellStyle name="Standard 3 3 2 3 2 2" xfId="578"/>
    <cellStyle name="Standard 3 3 2 3 2 3" xfId="845"/>
    <cellStyle name="Standard 3 3 2 3 2 4" xfId="1089"/>
    <cellStyle name="Standard 3 3 2 3 3" xfId="457"/>
    <cellStyle name="Standard 3 3 2 3 4" xfId="724"/>
    <cellStyle name="Standard 3 3 2 3 5" xfId="968"/>
    <cellStyle name="Standard 3 3 2 4" xfId="296"/>
    <cellStyle name="Standard 3 3 2 4 2" xfId="538"/>
    <cellStyle name="Standard 3 3 2 4 3" xfId="805"/>
    <cellStyle name="Standard 3 3 2 4 4" xfId="1049"/>
    <cellStyle name="Standard 3 3 2 5" xfId="417"/>
    <cellStyle name="Standard 3 3 2 6" xfId="676"/>
    <cellStyle name="Standard 3 3 2 7" xfId="928"/>
    <cellStyle name="Standard 3 3 3" xfId="174"/>
    <cellStyle name="Standard 3 3 3 2" xfId="255"/>
    <cellStyle name="Standard 3 3 3 2 2" xfId="618"/>
    <cellStyle name="Standard 3 3 3 2 3" xfId="885"/>
    <cellStyle name="Standard 3 3 3 2 4" xfId="1129"/>
    <cellStyle name="Standard 3 3 3 3" xfId="376"/>
    <cellStyle name="Standard 3 3 3 4" xfId="497"/>
    <cellStyle name="Standard 3 3 3 5" xfId="764"/>
    <cellStyle name="Standard 3 3 3 6" xfId="1008"/>
    <cellStyle name="Standard 3 3 4" xfId="214"/>
    <cellStyle name="Standard 3 3 4 2" xfId="335"/>
    <cellStyle name="Standard 3 3 4 2 2" xfId="577"/>
    <cellStyle name="Standard 3 3 4 2 3" xfId="844"/>
    <cellStyle name="Standard 3 3 4 2 4" xfId="1088"/>
    <cellStyle name="Standard 3 3 4 3" xfId="456"/>
    <cellStyle name="Standard 3 3 4 4" xfId="723"/>
    <cellStyle name="Standard 3 3 4 5" xfId="967"/>
    <cellStyle name="Standard 3 3 5" xfId="295"/>
    <cellStyle name="Standard 3 3 5 2" xfId="537"/>
    <cellStyle name="Standard 3 3 5 3" xfId="804"/>
    <cellStyle name="Standard 3 3 5 4" xfId="1048"/>
    <cellStyle name="Standard 3 3 6" xfId="416"/>
    <cellStyle name="Standard 3 3 7" xfId="675"/>
    <cellStyle name="Standard 3 3 8" xfId="927"/>
    <cellStyle name="Standard 3 4" xfId="118"/>
    <cellStyle name="Standard 3 4 2" xfId="119"/>
    <cellStyle name="Standard 3 4 2 2" xfId="177"/>
    <cellStyle name="Standard 3 4 2 2 2" xfId="258"/>
    <cellStyle name="Standard 3 4 2 2 2 2" xfId="621"/>
    <cellStyle name="Standard 3 4 2 2 2 3" xfId="888"/>
    <cellStyle name="Standard 3 4 2 2 2 4" xfId="1132"/>
    <cellStyle name="Standard 3 4 2 2 3" xfId="379"/>
    <cellStyle name="Standard 3 4 2 2 4" xfId="500"/>
    <cellStyle name="Standard 3 4 2 2 5" xfId="767"/>
    <cellStyle name="Standard 3 4 2 2 6" xfId="1011"/>
    <cellStyle name="Standard 3 4 2 3" xfId="215"/>
    <cellStyle name="Standard 3 4 2 3 2" xfId="338"/>
    <cellStyle name="Standard 3 4 2 3 2 2" xfId="580"/>
    <cellStyle name="Standard 3 4 2 3 2 3" xfId="847"/>
    <cellStyle name="Standard 3 4 2 3 2 4" xfId="1091"/>
    <cellStyle name="Standard 3 4 2 3 3" xfId="459"/>
    <cellStyle name="Standard 3 4 2 3 4" xfId="726"/>
    <cellStyle name="Standard 3 4 2 3 5" xfId="970"/>
    <cellStyle name="Standard 3 4 2 4" xfId="298"/>
    <cellStyle name="Standard 3 4 2 4 2" xfId="540"/>
    <cellStyle name="Standard 3 4 2 4 3" xfId="807"/>
    <cellStyle name="Standard 3 4 2 4 4" xfId="1051"/>
    <cellStyle name="Standard 3 4 2 5" xfId="419"/>
    <cellStyle name="Standard 3 4 2 6" xfId="678"/>
    <cellStyle name="Standard 3 4 2 7" xfId="930"/>
    <cellStyle name="Standard 3 4 3" xfId="176"/>
    <cellStyle name="Standard 3 4 3 2" xfId="257"/>
    <cellStyle name="Standard 3 4 3 2 2" xfId="620"/>
    <cellStyle name="Standard 3 4 3 2 3" xfId="887"/>
    <cellStyle name="Standard 3 4 3 2 4" xfId="1131"/>
    <cellStyle name="Standard 3 4 3 3" xfId="378"/>
    <cellStyle name="Standard 3 4 3 4" xfId="499"/>
    <cellStyle name="Standard 3 4 3 5" xfId="766"/>
    <cellStyle name="Standard 3 4 3 6" xfId="1010"/>
    <cellStyle name="Standard 3 4 4" xfId="216"/>
    <cellStyle name="Standard 3 4 4 2" xfId="337"/>
    <cellStyle name="Standard 3 4 4 2 2" xfId="579"/>
    <cellStyle name="Standard 3 4 4 2 3" xfId="846"/>
    <cellStyle name="Standard 3 4 4 2 4" xfId="1090"/>
    <cellStyle name="Standard 3 4 4 3" xfId="458"/>
    <cellStyle name="Standard 3 4 4 4" xfId="725"/>
    <cellStyle name="Standard 3 4 4 5" xfId="969"/>
    <cellStyle name="Standard 3 4 5" xfId="297"/>
    <cellStyle name="Standard 3 4 5 2" xfId="539"/>
    <cellStyle name="Standard 3 4 5 3" xfId="806"/>
    <cellStyle name="Standard 3 4 5 4" xfId="1050"/>
    <cellStyle name="Standard 3 4 6" xfId="418"/>
    <cellStyle name="Standard 3 4 7" xfId="677"/>
    <cellStyle name="Standard 3 4 8" xfId="929"/>
    <cellStyle name="Standard 3 5" xfId="120"/>
    <cellStyle name="Standard 3 5 2" xfId="178"/>
    <cellStyle name="Standard 3 5 2 2" xfId="259"/>
    <cellStyle name="Standard 3 5 2 2 2" xfId="622"/>
    <cellStyle name="Standard 3 5 2 2 3" xfId="889"/>
    <cellStyle name="Standard 3 5 2 2 4" xfId="1133"/>
    <cellStyle name="Standard 3 5 2 3" xfId="380"/>
    <cellStyle name="Standard 3 5 2 4" xfId="501"/>
    <cellStyle name="Standard 3 5 2 5" xfId="768"/>
    <cellStyle name="Standard 3 5 2 6" xfId="1012"/>
    <cellStyle name="Standard 3 5 3" xfId="217"/>
    <cellStyle name="Standard 3 5 3 2" xfId="339"/>
    <cellStyle name="Standard 3 5 3 2 2" xfId="581"/>
    <cellStyle name="Standard 3 5 3 2 3" xfId="848"/>
    <cellStyle name="Standard 3 5 3 2 4" xfId="1092"/>
    <cellStyle name="Standard 3 5 3 3" xfId="460"/>
    <cellStyle name="Standard 3 5 3 4" xfId="727"/>
    <cellStyle name="Standard 3 5 3 5" xfId="971"/>
    <cellStyle name="Standard 3 5 4" xfId="299"/>
    <cellStyle name="Standard 3 5 4 2" xfId="541"/>
    <cellStyle name="Standard 3 5 4 3" xfId="808"/>
    <cellStyle name="Standard 3 5 4 4" xfId="1052"/>
    <cellStyle name="Standard 3 5 5" xfId="420"/>
    <cellStyle name="Standard 3 5 6" xfId="679"/>
    <cellStyle name="Standard 3 5 7" xfId="931"/>
    <cellStyle name="Standard 3 6" xfId="121"/>
    <cellStyle name="Standard 3 6 2" xfId="179"/>
    <cellStyle name="Standard 3 6 2 2" xfId="260"/>
    <cellStyle name="Standard 3 6 2 2 2" xfId="623"/>
    <cellStyle name="Standard 3 6 2 2 3" xfId="890"/>
    <cellStyle name="Standard 3 6 2 2 4" xfId="1134"/>
    <cellStyle name="Standard 3 6 2 3" xfId="381"/>
    <cellStyle name="Standard 3 6 2 4" xfId="502"/>
    <cellStyle name="Standard 3 6 2 5" xfId="769"/>
    <cellStyle name="Standard 3 6 2 6" xfId="1013"/>
    <cellStyle name="Standard 3 6 3" xfId="218"/>
    <cellStyle name="Standard 3 6 3 2" xfId="340"/>
    <cellStyle name="Standard 3 6 3 2 2" xfId="582"/>
    <cellStyle name="Standard 3 6 3 2 3" xfId="849"/>
    <cellStyle name="Standard 3 6 3 2 4" xfId="1093"/>
    <cellStyle name="Standard 3 6 3 3" xfId="461"/>
    <cellStyle name="Standard 3 6 3 4" xfId="728"/>
    <cellStyle name="Standard 3 6 3 5" xfId="972"/>
    <cellStyle name="Standard 3 6 4" xfId="300"/>
    <cellStyle name="Standard 3 6 4 2" xfId="542"/>
    <cellStyle name="Standard 3 6 4 3" xfId="809"/>
    <cellStyle name="Standard 3 6 4 4" xfId="1053"/>
    <cellStyle name="Standard 3 6 5" xfId="421"/>
    <cellStyle name="Standard 3 6 6" xfId="680"/>
    <cellStyle name="Standard 3 6 7" xfId="932"/>
    <cellStyle name="Standard 3 7" xfId="166"/>
    <cellStyle name="Standard 3 7 2" xfId="247"/>
    <cellStyle name="Standard 3 7 2 2" xfId="610"/>
    <cellStyle name="Standard 3 7 2 3" xfId="877"/>
    <cellStyle name="Standard 3 7 2 4" xfId="1121"/>
    <cellStyle name="Standard 3 7 3" xfId="368"/>
    <cellStyle name="Standard 3 7 4" xfId="489"/>
    <cellStyle name="Standard 3 7 5" xfId="756"/>
    <cellStyle name="Standard 3 7 6" xfId="1000"/>
    <cellStyle name="Standard 3 8" xfId="219"/>
    <cellStyle name="Standard 3 8 2" xfId="327"/>
    <cellStyle name="Standard 3 8 2 2" xfId="569"/>
    <cellStyle name="Standard 3 8 2 3" xfId="836"/>
    <cellStyle name="Standard 3 8 2 4" xfId="1080"/>
    <cellStyle name="Standard 3 8 3" xfId="448"/>
    <cellStyle name="Standard 3 8 4" xfId="715"/>
    <cellStyle name="Standard 3 8 5" xfId="959"/>
    <cellStyle name="Standard 3 9" xfId="287"/>
    <cellStyle name="Standard 3 9 2" xfId="529"/>
    <cellStyle name="Standard 3 9 3" xfId="796"/>
    <cellStyle name="Standard 3 9 4" xfId="1040"/>
    <cellStyle name="Standard 3 9 5" xfId="1150"/>
    <cellStyle name="Standard 4" xfId="122"/>
    <cellStyle name="Standard 4 10" xfId="681"/>
    <cellStyle name="Standard 4 11" xfId="933"/>
    <cellStyle name="Standard 4 2" xfId="123"/>
    <cellStyle name="Standard 4 2 2" xfId="124"/>
    <cellStyle name="Standard 4 2 2 2" xfId="182"/>
    <cellStyle name="Standard 4 2 2 2 2" xfId="263"/>
    <cellStyle name="Standard 4 2 2 2 2 2" xfId="626"/>
    <cellStyle name="Standard 4 2 2 2 2 3" xfId="893"/>
    <cellStyle name="Standard 4 2 2 2 2 4" xfId="1137"/>
    <cellStyle name="Standard 4 2 2 2 3" xfId="384"/>
    <cellStyle name="Standard 4 2 2 2 4" xfId="505"/>
    <cellStyle name="Standard 4 2 2 2 5" xfId="772"/>
    <cellStyle name="Standard 4 2 2 2 6" xfId="1016"/>
    <cellStyle name="Standard 4 2 2 3" xfId="220"/>
    <cellStyle name="Standard 4 2 2 3 2" xfId="343"/>
    <cellStyle name="Standard 4 2 2 3 2 2" xfId="585"/>
    <cellStyle name="Standard 4 2 2 3 2 3" xfId="852"/>
    <cellStyle name="Standard 4 2 2 3 2 4" xfId="1096"/>
    <cellStyle name="Standard 4 2 2 3 3" xfId="464"/>
    <cellStyle name="Standard 4 2 2 3 4" xfId="731"/>
    <cellStyle name="Standard 4 2 2 3 5" xfId="975"/>
    <cellStyle name="Standard 4 2 2 4" xfId="303"/>
    <cellStyle name="Standard 4 2 2 4 2" xfId="545"/>
    <cellStyle name="Standard 4 2 2 4 3" xfId="812"/>
    <cellStyle name="Standard 4 2 2 4 4" xfId="1056"/>
    <cellStyle name="Standard 4 2 2 5" xfId="424"/>
    <cellStyle name="Standard 4 2 2 6" xfId="683"/>
    <cellStyle name="Standard 4 2 2 7" xfId="935"/>
    <cellStyle name="Standard 4 2 3" xfId="181"/>
    <cellStyle name="Standard 4 2 3 2" xfId="262"/>
    <cellStyle name="Standard 4 2 3 2 2" xfId="625"/>
    <cellStyle name="Standard 4 2 3 2 3" xfId="892"/>
    <cellStyle name="Standard 4 2 3 2 4" xfId="1136"/>
    <cellStyle name="Standard 4 2 3 3" xfId="383"/>
    <cellStyle name="Standard 4 2 3 4" xfId="504"/>
    <cellStyle name="Standard 4 2 3 5" xfId="771"/>
    <cellStyle name="Standard 4 2 3 6" xfId="1015"/>
    <cellStyle name="Standard 4 2 4" xfId="221"/>
    <cellStyle name="Standard 4 2 4 2" xfId="342"/>
    <cellStyle name="Standard 4 2 4 2 2" xfId="584"/>
    <cellStyle name="Standard 4 2 4 2 3" xfId="851"/>
    <cellStyle name="Standard 4 2 4 2 4" xfId="1095"/>
    <cellStyle name="Standard 4 2 4 3" xfId="463"/>
    <cellStyle name="Standard 4 2 4 4" xfId="730"/>
    <cellStyle name="Standard 4 2 4 5" xfId="974"/>
    <cellStyle name="Standard 4 2 5" xfId="302"/>
    <cellStyle name="Standard 4 2 5 2" xfId="544"/>
    <cellStyle name="Standard 4 2 5 3" xfId="811"/>
    <cellStyle name="Standard 4 2 5 4" xfId="1055"/>
    <cellStyle name="Standard 4 2 6" xfId="423"/>
    <cellStyle name="Standard 4 2 7" xfId="682"/>
    <cellStyle name="Standard 4 2 8" xfId="934"/>
    <cellStyle name="Standard 4 3" xfId="125"/>
    <cellStyle name="Standard 4 3 2" xfId="126"/>
    <cellStyle name="Standard 4 3 2 2" xfId="184"/>
    <cellStyle name="Standard 4 3 2 2 2" xfId="265"/>
    <cellStyle name="Standard 4 3 2 2 2 2" xfId="628"/>
    <cellStyle name="Standard 4 3 2 2 2 3" xfId="895"/>
    <cellStyle name="Standard 4 3 2 2 2 4" xfId="1139"/>
    <cellStyle name="Standard 4 3 2 2 3" xfId="386"/>
    <cellStyle name="Standard 4 3 2 2 4" xfId="507"/>
    <cellStyle name="Standard 4 3 2 2 5" xfId="774"/>
    <cellStyle name="Standard 4 3 2 2 6" xfId="1018"/>
    <cellStyle name="Standard 4 3 2 3" xfId="222"/>
    <cellStyle name="Standard 4 3 2 3 2" xfId="345"/>
    <cellStyle name="Standard 4 3 2 3 2 2" xfId="587"/>
    <cellStyle name="Standard 4 3 2 3 2 3" xfId="854"/>
    <cellStyle name="Standard 4 3 2 3 2 4" xfId="1098"/>
    <cellStyle name="Standard 4 3 2 3 3" xfId="466"/>
    <cellStyle name="Standard 4 3 2 3 4" xfId="733"/>
    <cellStyle name="Standard 4 3 2 3 5" xfId="977"/>
    <cellStyle name="Standard 4 3 2 4" xfId="305"/>
    <cellStyle name="Standard 4 3 2 4 2" xfId="547"/>
    <cellStyle name="Standard 4 3 2 4 3" xfId="814"/>
    <cellStyle name="Standard 4 3 2 4 4" xfId="1058"/>
    <cellStyle name="Standard 4 3 2 5" xfId="426"/>
    <cellStyle name="Standard 4 3 2 6" xfId="685"/>
    <cellStyle name="Standard 4 3 2 7" xfId="937"/>
    <cellStyle name="Standard 4 3 3" xfId="183"/>
    <cellStyle name="Standard 4 3 3 2" xfId="264"/>
    <cellStyle name="Standard 4 3 3 2 2" xfId="627"/>
    <cellStyle name="Standard 4 3 3 2 3" xfId="894"/>
    <cellStyle name="Standard 4 3 3 2 4" xfId="1138"/>
    <cellStyle name="Standard 4 3 3 3" xfId="385"/>
    <cellStyle name="Standard 4 3 3 4" xfId="506"/>
    <cellStyle name="Standard 4 3 3 5" xfId="773"/>
    <cellStyle name="Standard 4 3 3 6" xfId="1017"/>
    <cellStyle name="Standard 4 3 4" xfId="223"/>
    <cellStyle name="Standard 4 3 4 2" xfId="344"/>
    <cellStyle name="Standard 4 3 4 2 2" xfId="586"/>
    <cellStyle name="Standard 4 3 4 2 3" xfId="853"/>
    <cellStyle name="Standard 4 3 4 2 4" xfId="1097"/>
    <cellStyle name="Standard 4 3 4 3" xfId="465"/>
    <cellStyle name="Standard 4 3 4 4" xfId="732"/>
    <cellStyle name="Standard 4 3 4 5" xfId="976"/>
    <cellStyle name="Standard 4 3 5" xfId="304"/>
    <cellStyle name="Standard 4 3 5 2" xfId="546"/>
    <cellStyle name="Standard 4 3 5 3" xfId="813"/>
    <cellStyle name="Standard 4 3 5 4" xfId="1057"/>
    <cellStyle name="Standard 4 3 6" xfId="425"/>
    <cellStyle name="Standard 4 3 7" xfId="684"/>
    <cellStyle name="Standard 4 3 8" xfId="936"/>
    <cellStyle name="Standard 4 4" xfId="127"/>
    <cellStyle name="Standard 4 4 2" xfId="185"/>
    <cellStyle name="Standard 4 4 2 2" xfId="266"/>
    <cellStyle name="Standard 4 4 2 2 2" xfId="629"/>
    <cellStyle name="Standard 4 4 2 2 3" xfId="896"/>
    <cellStyle name="Standard 4 4 2 2 4" xfId="1140"/>
    <cellStyle name="Standard 4 4 2 3" xfId="387"/>
    <cellStyle name="Standard 4 4 2 4" xfId="508"/>
    <cellStyle name="Standard 4 4 2 5" xfId="775"/>
    <cellStyle name="Standard 4 4 2 6" xfId="1019"/>
    <cellStyle name="Standard 4 4 3" xfId="224"/>
    <cellStyle name="Standard 4 4 3 2" xfId="346"/>
    <cellStyle name="Standard 4 4 3 2 2" xfId="588"/>
    <cellStyle name="Standard 4 4 3 2 3" xfId="855"/>
    <cellStyle name="Standard 4 4 3 2 4" xfId="1099"/>
    <cellStyle name="Standard 4 4 3 3" xfId="467"/>
    <cellStyle name="Standard 4 4 3 4" xfId="734"/>
    <cellStyle name="Standard 4 4 3 5" xfId="978"/>
    <cellStyle name="Standard 4 4 4" xfId="306"/>
    <cellStyle name="Standard 4 4 4 2" xfId="548"/>
    <cellStyle name="Standard 4 4 4 3" xfId="815"/>
    <cellStyle name="Standard 4 4 4 4" xfId="1059"/>
    <cellStyle name="Standard 4 4 5" xfId="427"/>
    <cellStyle name="Standard 4 4 6" xfId="686"/>
    <cellStyle name="Standard 4 4 7" xfId="938"/>
    <cellStyle name="Standard 4 5" xfId="128"/>
    <cellStyle name="Standard 4 5 2" xfId="186"/>
    <cellStyle name="Standard 4 5 2 2" xfId="267"/>
    <cellStyle name="Standard 4 5 2 2 2" xfId="630"/>
    <cellStyle name="Standard 4 5 2 2 3" xfId="897"/>
    <cellStyle name="Standard 4 5 2 2 4" xfId="1141"/>
    <cellStyle name="Standard 4 5 2 3" xfId="388"/>
    <cellStyle name="Standard 4 5 2 4" xfId="509"/>
    <cellStyle name="Standard 4 5 2 5" xfId="776"/>
    <cellStyle name="Standard 4 5 2 6" xfId="1020"/>
    <cellStyle name="Standard 4 5 3" xfId="225"/>
    <cellStyle name="Standard 4 5 3 2" xfId="347"/>
    <cellStyle name="Standard 4 5 3 2 2" xfId="589"/>
    <cellStyle name="Standard 4 5 3 2 3" xfId="856"/>
    <cellStyle name="Standard 4 5 3 2 4" xfId="1100"/>
    <cellStyle name="Standard 4 5 3 3" xfId="468"/>
    <cellStyle name="Standard 4 5 3 4" xfId="735"/>
    <cellStyle name="Standard 4 5 3 5" xfId="979"/>
    <cellStyle name="Standard 4 5 4" xfId="307"/>
    <cellStyle name="Standard 4 5 4 2" xfId="549"/>
    <cellStyle name="Standard 4 5 4 3" xfId="816"/>
    <cellStyle name="Standard 4 5 4 4" xfId="1060"/>
    <cellStyle name="Standard 4 5 5" xfId="428"/>
    <cellStyle name="Standard 4 5 6" xfId="687"/>
    <cellStyle name="Standard 4 5 7" xfId="939"/>
    <cellStyle name="Standard 4 6" xfId="180"/>
    <cellStyle name="Standard 4 6 2" xfId="261"/>
    <cellStyle name="Standard 4 6 2 2" xfId="624"/>
    <cellStyle name="Standard 4 6 2 3" xfId="891"/>
    <cellStyle name="Standard 4 6 2 4" xfId="1135"/>
    <cellStyle name="Standard 4 6 3" xfId="382"/>
    <cellStyle name="Standard 4 6 4" xfId="503"/>
    <cellStyle name="Standard 4 6 5" xfId="770"/>
    <cellStyle name="Standard 4 6 6" xfId="1014"/>
    <cellStyle name="Standard 4 7" xfId="226"/>
    <cellStyle name="Standard 4 7 2" xfId="341"/>
    <cellStyle name="Standard 4 7 2 2" xfId="583"/>
    <cellStyle name="Standard 4 7 2 3" xfId="850"/>
    <cellStyle name="Standard 4 7 2 4" xfId="1094"/>
    <cellStyle name="Standard 4 7 3" xfId="462"/>
    <cellStyle name="Standard 4 7 4" xfId="729"/>
    <cellStyle name="Standard 4 7 5" xfId="973"/>
    <cellStyle name="Standard 4 8" xfId="301"/>
    <cellStyle name="Standard 4 8 2" xfId="543"/>
    <cellStyle name="Standard 4 8 3" xfId="810"/>
    <cellStyle name="Standard 4 8 4" xfId="1054"/>
    <cellStyle name="Standard 4 9" xfId="422"/>
    <cellStyle name="Standard 5" xfId="145"/>
    <cellStyle name="Standard 5 2" xfId="227"/>
    <cellStyle name="Standard 5 2 2" xfId="590"/>
    <cellStyle name="Standard 5 2 3" xfId="857"/>
    <cellStyle name="Standard 5 2 4" xfId="1101"/>
    <cellStyle name="Standard 5 3" xfId="348"/>
    <cellStyle name="Standard 5 4" xfId="469"/>
    <cellStyle name="Standard 5 5" xfId="736"/>
    <cellStyle name="Standard 5 6" xfId="980"/>
    <cellStyle name="Standard 6" xfId="632"/>
    <cellStyle name="Standard 6 2" xfId="1144"/>
    <cellStyle name="Standard 7" xfId="631"/>
    <cellStyle name="Überschrift" xfId="129"/>
    <cellStyle name="Überschrift 1" xfId="130"/>
    <cellStyle name="Überschrift 1 2" xfId="131"/>
    <cellStyle name="Überschrift 1 3" xfId="689"/>
    <cellStyle name="Überschrift 2" xfId="132"/>
    <cellStyle name="Überschrift 2 2" xfId="133"/>
    <cellStyle name="Überschrift 2 3" xfId="690"/>
    <cellStyle name="Überschrift 3" xfId="134"/>
    <cellStyle name="Überschrift 3 2" xfId="135"/>
    <cellStyle name="Überschrift 3 2 2" xfId="1143"/>
    <cellStyle name="Überschrift 3 3" xfId="691"/>
    <cellStyle name="Überschrift 3 4" xfId="1142"/>
    <cellStyle name="Überschrift 4" xfId="136"/>
    <cellStyle name="Überschrift 4 2" xfId="137"/>
    <cellStyle name="Überschrift 4 3" xfId="692"/>
    <cellStyle name="Überschrift 5" xfId="138"/>
    <cellStyle name="Überschrift 6" xfId="688"/>
    <cellStyle name="Verknüpfte Zelle" xfId="139"/>
    <cellStyle name="Verknüpfte Zelle 2" xfId="140"/>
    <cellStyle name="Verknüpfte Zelle 3" xfId="693"/>
    <cellStyle name="Warnender Text" xfId="141"/>
    <cellStyle name="Warnender Text 2" xfId="142"/>
    <cellStyle name="Warnender Text 3" xfId="694"/>
    <cellStyle name="Zelle überprüfen" xfId="143"/>
    <cellStyle name="Zelle überprüfen 2" xfId="144"/>
    <cellStyle name="Zelle überprüfen 3" xfId="695"/>
  </cellStyles>
  <dxfs count="49">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9"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a:solidFill>
                  <a:srgbClr val="000000"/>
                </a:solidFill>
                <a:latin typeface="Calibri"/>
                <a:ea typeface="Calibri"/>
                <a:cs typeface="Calibri"/>
              </a:defRPr>
            </a:pPr>
            <a:r>
              <a:rPr lang="de-DE" sz="1800" b="1" i="0" u="none" strike="noStrike" baseline="0">
                <a:effectLst/>
                <a:latin typeface="Arial" panose="020B0604020202020204" pitchFamily="34" charset="0"/>
                <a:cs typeface="Arial" panose="020B0604020202020204" pitchFamily="34" charset="0"/>
              </a:rPr>
              <a:t>Primärenergiebedarf PEB</a:t>
            </a:r>
            <a:r>
              <a:rPr lang="de-DE" sz="1800" b="1" i="0" u="none" strike="noStrike" baseline="-25000">
                <a:effectLst/>
                <a:latin typeface="Arial" panose="020B0604020202020204" pitchFamily="34" charset="0"/>
                <a:cs typeface="Arial" panose="020B0604020202020204" pitchFamily="34" charset="0"/>
              </a:rPr>
              <a:t>SK</a:t>
            </a:r>
            <a:r>
              <a:rPr lang="de-DE" b="1">
                <a:latin typeface="Arial" panose="020B0604020202020204" pitchFamily="34" charset="0"/>
                <a:cs typeface="Arial" panose="020B0604020202020204" pitchFamily="34" charset="0"/>
              </a:rPr>
              <a:t> </a:t>
            </a:r>
            <a:r>
              <a:rPr lang="en-US" sz="1800" b="1" i="0" u="none" strike="noStrike" baseline="0">
                <a:effectLst/>
              </a:rPr>
              <a:t>minderbeheizte Gebäude</a:t>
            </a:r>
            <a:endParaRPr lang="de-DE"/>
          </a:p>
        </c:rich>
      </c:tx>
      <c:overlay val="0"/>
    </c:title>
    <c:autoTitleDeleted val="0"/>
    <c:plotArea>
      <c:layout/>
      <c:lineChart>
        <c:grouping val="standard"/>
        <c:varyColors val="0"/>
        <c:ser>
          <c:idx val="0"/>
          <c:order val="0"/>
          <c:tx>
            <c:strRef>
              <c:f>'B1b Graphik'!$L$92:$M$92</c:f>
              <c:strCache>
                <c:ptCount val="1"/>
                <c:pt idx="0">
                  <c:v>Primärenergiebedarf</c:v>
                </c:pt>
              </c:strCache>
            </c:strRef>
          </c:tx>
          <c:spPr>
            <a:ln>
              <a:solidFill>
                <a:schemeClr val="accent6">
                  <a:lumMod val="75000"/>
                </a:schemeClr>
              </a:solidFill>
            </a:ln>
          </c:spPr>
          <c:marker>
            <c:symbol val="none"/>
          </c:marker>
          <c:cat>
            <c:numRef>
              <c:f>'B1b Graphik'!$L$94:$L$244</c:f>
              <c:numCache>
                <c:formatCode>0</c:formatCode>
                <c:ptCount val="1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numCache>
            </c:numRef>
          </c:cat>
          <c:val>
            <c:numRef>
              <c:f>'B1b Graphik'!$M$94:$M$244</c:f>
              <c:numCache>
                <c:formatCode>0</c:formatCode>
                <c:ptCount val="151"/>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pt idx="41">
                  <c:v>120</c:v>
                </c:pt>
                <c:pt idx="42">
                  <c:v>120</c:v>
                </c:pt>
                <c:pt idx="43">
                  <c:v>120</c:v>
                </c:pt>
                <c:pt idx="44">
                  <c:v>118.26086956521739</c:v>
                </c:pt>
                <c:pt idx="45">
                  <c:v>116.52173913043478</c:v>
                </c:pt>
                <c:pt idx="46">
                  <c:v>114.78260869565217</c:v>
                </c:pt>
                <c:pt idx="47">
                  <c:v>113.04347826086956</c:v>
                </c:pt>
                <c:pt idx="48">
                  <c:v>111.30434782608695</c:v>
                </c:pt>
                <c:pt idx="49">
                  <c:v>109.56521739130434</c:v>
                </c:pt>
                <c:pt idx="50">
                  <c:v>107.82608695652173</c:v>
                </c:pt>
                <c:pt idx="51">
                  <c:v>106.08695652173913</c:v>
                </c:pt>
                <c:pt idx="52">
                  <c:v>104.34782608695652</c:v>
                </c:pt>
                <c:pt idx="53">
                  <c:v>102.60869565217391</c:v>
                </c:pt>
                <c:pt idx="54">
                  <c:v>100.8695652173913</c:v>
                </c:pt>
                <c:pt idx="55">
                  <c:v>99.130434782608688</c:v>
                </c:pt>
                <c:pt idx="56">
                  <c:v>97.391304347826079</c:v>
                </c:pt>
                <c:pt idx="57">
                  <c:v>95.65217391304347</c:v>
                </c:pt>
                <c:pt idx="58">
                  <c:v>93.91304347826086</c:v>
                </c:pt>
                <c:pt idx="59">
                  <c:v>92.173913043478265</c:v>
                </c:pt>
                <c:pt idx="60">
                  <c:v>90.434782608695656</c:v>
                </c:pt>
                <c:pt idx="61">
                  <c:v>88.695652173913047</c:v>
                </c:pt>
                <c:pt idx="62">
                  <c:v>86.956521739130437</c:v>
                </c:pt>
                <c:pt idx="63">
                  <c:v>85.217391304347828</c:v>
                </c:pt>
                <c:pt idx="64">
                  <c:v>83.478260869565219</c:v>
                </c:pt>
                <c:pt idx="65">
                  <c:v>81.739130434782609</c:v>
                </c:pt>
                <c:pt idx="66">
                  <c:v>80</c:v>
                </c:pt>
                <c:pt idx="67">
                  <c:v>78.260869565217391</c:v>
                </c:pt>
                <c:pt idx="68">
                  <c:v>76.521739130434781</c:v>
                </c:pt>
                <c:pt idx="69">
                  <c:v>74.782608695652172</c:v>
                </c:pt>
                <c:pt idx="70">
                  <c:v>73.043478260869563</c:v>
                </c:pt>
                <c:pt idx="71">
                  <c:v>71.304347826086953</c:v>
                </c:pt>
                <c:pt idx="72">
                  <c:v>69.565217391304344</c:v>
                </c:pt>
                <c:pt idx="73">
                  <c:v>67.826086956521735</c:v>
                </c:pt>
                <c:pt idx="74">
                  <c:v>66.086956521739125</c:v>
                </c:pt>
                <c:pt idx="75">
                  <c:v>64.347826086956516</c:v>
                </c:pt>
                <c:pt idx="76">
                  <c:v>62.608695652173914</c:v>
                </c:pt>
                <c:pt idx="77">
                  <c:v>60.869565217391305</c:v>
                </c:pt>
                <c:pt idx="78">
                  <c:v>59.130434782608695</c:v>
                </c:pt>
                <c:pt idx="79">
                  <c:v>57.391304347826086</c:v>
                </c:pt>
                <c:pt idx="80">
                  <c:v>55.652173913043477</c:v>
                </c:pt>
                <c:pt idx="81">
                  <c:v>53.913043478260867</c:v>
                </c:pt>
                <c:pt idx="82">
                  <c:v>52.173913043478258</c:v>
                </c:pt>
                <c:pt idx="83">
                  <c:v>50.434782608695649</c:v>
                </c:pt>
                <c:pt idx="84">
                  <c:v>48.695652173913039</c:v>
                </c:pt>
                <c:pt idx="85">
                  <c:v>46.95652173913043</c:v>
                </c:pt>
                <c:pt idx="86">
                  <c:v>45.217391304347828</c:v>
                </c:pt>
                <c:pt idx="87">
                  <c:v>43.478260869565219</c:v>
                </c:pt>
                <c:pt idx="88">
                  <c:v>41.739130434782609</c:v>
                </c:pt>
                <c:pt idx="89">
                  <c:v>40</c:v>
                </c:pt>
                <c:pt idx="90">
                  <c:v>38.260869565217391</c:v>
                </c:pt>
                <c:pt idx="91">
                  <c:v>36.521739130434781</c:v>
                </c:pt>
                <c:pt idx="92">
                  <c:v>34.782608695652172</c:v>
                </c:pt>
                <c:pt idx="93">
                  <c:v>33.043478260869563</c:v>
                </c:pt>
                <c:pt idx="94">
                  <c:v>31.304347826086957</c:v>
                </c:pt>
                <c:pt idx="95">
                  <c:v>29.565217391304348</c:v>
                </c:pt>
                <c:pt idx="96">
                  <c:v>27.826086956521738</c:v>
                </c:pt>
                <c:pt idx="97">
                  <c:v>26.086956521739129</c:v>
                </c:pt>
                <c:pt idx="98">
                  <c:v>24.34782608695652</c:v>
                </c:pt>
                <c:pt idx="99">
                  <c:v>22.608695652173914</c:v>
                </c:pt>
                <c:pt idx="100">
                  <c:v>20.869565217391305</c:v>
                </c:pt>
                <c:pt idx="101">
                  <c:v>19.130434782608695</c:v>
                </c:pt>
                <c:pt idx="102">
                  <c:v>17.391304347826086</c:v>
                </c:pt>
                <c:pt idx="103">
                  <c:v>15.652173913043478</c:v>
                </c:pt>
                <c:pt idx="104">
                  <c:v>13.913043478260869</c:v>
                </c:pt>
                <c:pt idx="105">
                  <c:v>12.17391304347826</c:v>
                </c:pt>
                <c:pt idx="106">
                  <c:v>10.434782608695652</c:v>
                </c:pt>
                <c:pt idx="107">
                  <c:v>8.695652173913043</c:v>
                </c:pt>
                <c:pt idx="108">
                  <c:v>6.9565217391304346</c:v>
                </c:pt>
                <c:pt idx="109">
                  <c:v>5.2173913043478262</c:v>
                </c:pt>
                <c:pt idx="110">
                  <c:v>3.4782608695652173</c:v>
                </c:pt>
                <c:pt idx="111">
                  <c:v>1.7391304347826086</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numCache>
            </c:numRef>
          </c:val>
          <c:smooth val="0"/>
          <c:extLst>
            <c:ext xmlns:c16="http://schemas.microsoft.com/office/drawing/2014/chart" uri="{C3380CC4-5D6E-409C-BE32-E72D297353CC}">
              <c16:uniqueId val="{00000000-ACB7-4449-A1DF-8F57331F4D8F}"/>
            </c:ext>
          </c:extLst>
        </c:ser>
        <c:dLbls>
          <c:showLegendKey val="0"/>
          <c:showVal val="0"/>
          <c:showCatName val="0"/>
          <c:showSerName val="0"/>
          <c:showPercent val="0"/>
          <c:showBubbleSize val="0"/>
        </c:dLbls>
        <c:smooth val="0"/>
        <c:axId val="103371008"/>
        <c:axId val="103371792"/>
      </c:lineChart>
      <c:catAx>
        <c:axId val="103371008"/>
        <c:scaling>
          <c:orientation val="minMax"/>
        </c:scaling>
        <c:delete val="0"/>
        <c:axPos val="b"/>
        <c:title>
          <c:tx>
            <c:rich>
              <a:bodyPr/>
              <a:lstStyle/>
              <a:p>
                <a:pPr>
                  <a:defRPr sz="1000" b="1" i="0" u="none" strike="noStrike">
                    <a:solidFill>
                      <a:srgbClr val="000000"/>
                    </a:solidFill>
                    <a:latin typeface="Calibri"/>
                    <a:ea typeface="Calibri"/>
                    <a:cs typeface="Calibri"/>
                  </a:defRPr>
                </a:pPr>
                <a:r>
                  <a:rPr lang="de-DE" sz="1200" b="1" i="0" u="none" strike="noStrike" baseline="0">
                    <a:effectLst/>
                    <a:latin typeface="Arial" panose="020B0604020202020204" pitchFamily="34" charset="0"/>
                    <a:cs typeface="Arial" panose="020B0604020202020204" pitchFamily="34" charset="0"/>
                  </a:rPr>
                  <a:t>PEB</a:t>
                </a:r>
                <a:r>
                  <a:rPr lang="de-DE" sz="1200" b="1" i="0" u="none" strike="noStrike" baseline="-25000">
                    <a:effectLst/>
                    <a:latin typeface="Arial" panose="020B0604020202020204" pitchFamily="34" charset="0"/>
                    <a:cs typeface="Arial" panose="020B0604020202020204" pitchFamily="34" charset="0"/>
                  </a:rPr>
                  <a:t>SK</a:t>
                </a:r>
                <a:r>
                  <a:rPr lang="de-DE">
                    <a:latin typeface="Arial"/>
                    <a:cs typeface="Arial"/>
                  </a:rPr>
                  <a:t> in</a:t>
                </a:r>
                <a:r>
                  <a:rPr lang="de-DE" baseline="0">
                    <a:latin typeface="Arial"/>
                    <a:cs typeface="Arial"/>
                  </a:rPr>
                  <a:t> </a:t>
                </a:r>
                <a:r>
                  <a:rPr lang="de-DE">
                    <a:latin typeface="Arial"/>
                    <a:cs typeface="Arial"/>
                  </a:rPr>
                  <a:t>kWh/(m²a)</a:t>
                </a:r>
                <a:endParaRPr lang="de-DE"/>
              </a:p>
            </c:rich>
          </c:tx>
          <c:overlay val="0"/>
        </c:title>
        <c:numFmt formatCode="0" sourceLinked="1"/>
        <c:majorTickMark val="out"/>
        <c:minorTickMark val="none"/>
        <c:tickLblPos val="nextTo"/>
        <c:txPr>
          <a:bodyPr rot="0" vert="horz" anchor="ctr" anchorCtr="0"/>
          <a:lstStyle/>
          <a:p>
            <a:pPr>
              <a:defRPr sz="1000" b="0" i="0" u="none" strike="noStrike">
                <a:solidFill>
                  <a:srgbClr val="000000"/>
                </a:solidFill>
                <a:latin typeface="Calibri"/>
                <a:ea typeface="Calibri"/>
                <a:cs typeface="Calibri"/>
              </a:defRPr>
            </a:pPr>
            <a:endParaRPr lang="de-DE"/>
          </a:p>
        </c:txPr>
        <c:crossAx val="103371792"/>
        <c:crosses val="autoZero"/>
        <c:auto val="0"/>
        <c:lblAlgn val="ctr"/>
        <c:lblOffset val="100"/>
        <c:tickLblSkip val="10"/>
        <c:tickMarkSkip val="5"/>
        <c:noMultiLvlLbl val="0"/>
      </c:catAx>
      <c:valAx>
        <c:axId val="103371792"/>
        <c:scaling>
          <c:orientation val="minMax"/>
        </c:scaling>
        <c:delete val="0"/>
        <c:axPos val="l"/>
        <c:majorGridlines/>
        <c:title>
          <c:tx>
            <c:rich>
              <a:bodyPr rot="-5400000" vert="horz"/>
              <a:lstStyle/>
              <a:p>
                <a:pPr>
                  <a:defRPr/>
                </a:pPr>
                <a:r>
                  <a:rPr lang="en-US" b="1">
                    <a:latin typeface="Arial"/>
                    <a:cs typeface="Arial"/>
                  </a:rPr>
                  <a:t>Punktevergabe</a:t>
                </a:r>
                <a:endParaRPr lang="en-US"/>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71008"/>
        <c:crosses val="autoZero"/>
        <c:crossBetween val="midCat"/>
        <c:majorUnit val="15"/>
        <c:minorUnit val="5"/>
      </c:valAx>
    </c:plotArea>
    <c:legend>
      <c:legendPos val="r"/>
      <c:overlay val="0"/>
      <c:txPr>
        <a:bodyPr/>
        <a:lstStyle/>
        <a:p>
          <a:pPr>
            <a:defRPr sz="900" b="0" i="0" u="none" strike="noStrike">
              <a:solidFill>
                <a:srgbClr val="000000"/>
              </a:solidFill>
              <a:latin typeface="Calibri"/>
              <a:ea typeface="Calibri"/>
              <a:cs typeface="Calibri"/>
            </a:defRPr>
          </a:pPr>
          <a:endParaRPr lang="de-DE"/>
        </a:p>
      </c:txPr>
    </c:legend>
    <c:plotVisOnly val="1"/>
    <c:dispBlanksAs val="gap"/>
    <c:showDLblsOverMax val="0"/>
  </c:chart>
  <c:txPr>
    <a:bodyPr/>
    <a:lstStyle/>
    <a:p>
      <a:pPr>
        <a:defRPr sz="1000" b="0" i="0" u="none" strike="noStrike">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a:solidFill>
                  <a:srgbClr val="000000"/>
                </a:solidFill>
                <a:latin typeface="Calibri"/>
                <a:ea typeface="Calibri"/>
                <a:cs typeface="Calibri"/>
              </a:defRPr>
            </a:pPr>
            <a:r>
              <a:rPr lang="de-DE" sz="1800" b="1" i="0" u="none" strike="noStrike" baseline="0">
                <a:effectLst/>
                <a:latin typeface="Arial" panose="020B0604020202020204" pitchFamily="34" charset="0"/>
                <a:cs typeface="Arial" panose="020B0604020202020204" pitchFamily="34" charset="0"/>
              </a:rPr>
              <a:t>Emissionen CO</a:t>
            </a:r>
            <a:r>
              <a:rPr lang="de-DE" sz="1800" b="1" i="0" u="none" strike="noStrike" baseline="-25000">
                <a:effectLst/>
                <a:latin typeface="Arial" panose="020B0604020202020204" pitchFamily="34" charset="0"/>
                <a:cs typeface="Arial" panose="020B0604020202020204" pitchFamily="34" charset="0"/>
              </a:rPr>
              <a:t>2</a:t>
            </a:r>
            <a:r>
              <a:rPr lang="de-DE" sz="1800" b="1" i="0" u="none" strike="noStrike" baseline="0">
                <a:effectLst/>
                <a:latin typeface="Arial" panose="020B0604020202020204" pitchFamily="34" charset="0"/>
                <a:cs typeface="Arial" panose="020B0604020202020204" pitchFamily="34" charset="0"/>
              </a:rPr>
              <a:t>-Äquivalente </a:t>
            </a:r>
            <a:r>
              <a:rPr lang="en-US" sz="1800" b="1" i="0" u="none" strike="noStrike" baseline="0">
                <a:effectLst/>
              </a:rPr>
              <a:t>minderbeheizte Gebäude</a:t>
            </a:r>
            <a:endParaRPr lang="de-DE"/>
          </a:p>
        </c:rich>
      </c:tx>
      <c:overlay val="0"/>
    </c:title>
    <c:autoTitleDeleted val="0"/>
    <c:plotArea>
      <c:layout/>
      <c:lineChart>
        <c:grouping val="standard"/>
        <c:varyColors val="0"/>
        <c:ser>
          <c:idx val="0"/>
          <c:order val="0"/>
          <c:tx>
            <c:strRef>
              <c:f>'B1b Graphik'!$O$92:$P$92</c:f>
              <c:strCache>
                <c:ptCount val="1"/>
                <c:pt idx="0">
                  <c:v>CO2-Äquivalente</c:v>
                </c:pt>
              </c:strCache>
            </c:strRef>
          </c:tx>
          <c:spPr>
            <a:prstGeom prst="rect">
              <a:avLst/>
            </a:prstGeom>
            <a:ln w="28575">
              <a:solidFill>
                <a:schemeClr val="tx1"/>
              </a:solidFill>
            </a:ln>
          </c:spPr>
          <c:marker>
            <c:symbol val="none"/>
          </c:marker>
          <c:cat>
            <c:numRef>
              <c:f>'B1b Graphik'!$O$94:$O$124</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'B1b Graphik'!$P$94:$P$124</c:f>
              <c:numCache>
                <c:formatCode>0</c:formatCode>
                <c:ptCount val="31"/>
                <c:pt idx="0">
                  <c:v>135</c:v>
                </c:pt>
                <c:pt idx="1">
                  <c:v>127.5</c:v>
                </c:pt>
                <c:pt idx="2">
                  <c:v>120</c:v>
                </c:pt>
                <c:pt idx="3">
                  <c:v>112.5</c:v>
                </c:pt>
                <c:pt idx="4">
                  <c:v>105</c:v>
                </c:pt>
                <c:pt idx="5">
                  <c:v>97.5</c:v>
                </c:pt>
                <c:pt idx="6">
                  <c:v>90</c:v>
                </c:pt>
                <c:pt idx="7">
                  <c:v>82.5</c:v>
                </c:pt>
                <c:pt idx="8">
                  <c:v>75</c:v>
                </c:pt>
                <c:pt idx="9">
                  <c:v>67.5</c:v>
                </c:pt>
                <c:pt idx="10">
                  <c:v>60</c:v>
                </c:pt>
                <c:pt idx="11">
                  <c:v>52.5</c:v>
                </c:pt>
                <c:pt idx="12">
                  <c:v>45</c:v>
                </c:pt>
                <c:pt idx="13">
                  <c:v>37.5</c:v>
                </c:pt>
                <c:pt idx="14">
                  <c:v>30</c:v>
                </c:pt>
                <c:pt idx="15">
                  <c:v>22.5</c:v>
                </c:pt>
                <c:pt idx="16">
                  <c:v>15</c:v>
                </c:pt>
                <c:pt idx="17">
                  <c:v>7.5</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0-5CD8-492E-8EED-AF010B5C3D7B}"/>
            </c:ext>
          </c:extLst>
        </c:ser>
        <c:dLbls>
          <c:showLegendKey val="0"/>
          <c:showVal val="0"/>
          <c:showCatName val="0"/>
          <c:showSerName val="0"/>
          <c:showPercent val="0"/>
          <c:showBubbleSize val="0"/>
        </c:dLbls>
        <c:smooth val="0"/>
        <c:axId val="103372184"/>
        <c:axId val="103364736"/>
      </c:lineChart>
      <c:catAx>
        <c:axId val="103372184"/>
        <c:scaling>
          <c:orientation val="minMax"/>
        </c:scaling>
        <c:delete val="0"/>
        <c:axPos val="b"/>
        <c:title>
          <c:tx>
            <c:rich>
              <a:bodyPr/>
              <a:lstStyle/>
              <a:p>
                <a:pPr>
                  <a:defRPr sz="1000" b="1" i="0" u="none" strike="noStrike">
                    <a:solidFill>
                      <a:srgbClr val="000000"/>
                    </a:solidFill>
                    <a:latin typeface="Calibri"/>
                    <a:ea typeface="Calibri"/>
                    <a:cs typeface="Calibri"/>
                  </a:defRPr>
                </a:pPr>
                <a:r>
                  <a:rPr lang="de-DE">
                    <a:latin typeface="Arial"/>
                    <a:cs typeface="Arial"/>
                  </a:rPr>
                  <a:t>CO</a:t>
                </a:r>
                <a:r>
                  <a:rPr lang="de-DE" baseline="-25000">
                    <a:latin typeface="Arial"/>
                    <a:cs typeface="Arial"/>
                  </a:rPr>
                  <a:t>2</a:t>
                </a:r>
                <a:r>
                  <a:rPr lang="de-DE" baseline="0">
                    <a:latin typeface="Arial"/>
                    <a:cs typeface="Arial"/>
                  </a:rPr>
                  <a:t>-Äquivalente</a:t>
                </a:r>
                <a:r>
                  <a:rPr lang="de-DE">
                    <a:latin typeface="Arial"/>
                    <a:cs typeface="Arial"/>
                  </a:rPr>
                  <a:t> in</a:t>
                </a:r>
                <a:r>
                  <a:rPr lang="de-DE" baseline="0">
                    <a:latin typeface="Arial"/>
                    <a:cs typeface="Arial"/>
                  </a:rPr>
                  <a:t> </a:t>
                </a:r>
                <a:r>
                  <a:rPr lang="de-DE">
                    <a:latin typeface="Arial"/>
                    <a:cs typeface="Arial"/>
                  </a:rPr>
                  <a:t>kg/(m²a)</a:t>
                </a:r>
                <a:endParaRPr lang="de-DE"/>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64736"/>
        <c:crosses val="autoZero"/>
        <c:auto val="1"/>
        <c:lblAlgn val="ctr"/>
        <c:lblOffset val="100"/>
        <c:tickLblSkip val="2"/>
        <c:tickMarkSkip val="2"/>
        <c:noMultiLvlLbl val="0"/>
      </c:catAx>
      <c:valAx>
        <c:axId val="103364736"/>
        <c:scaling>
          <c:orientation val="minMax"/>
        </c:scaling>
        <c:delete val="0"/>
        <c:axPos val="l"/>
        <c:majorGridlines/>
        <c:title>
          <c:tx>
            <c:rich>
              <a:bodyPr rot="-5400000" vert="horz"/>
              <a:lstStyle/>
              <a:p>
                <a:pPr>
                  <a:defRPr/>
                </a:pPr>
                <a:r>
                  <a:rPr lang="en-US" b="1">
                    <a:latin typeface="Arial"/>
                    <a:cs typeface="Arial"/>
                  </a:rPr>
                  <a:t>Punktevergabe</a:t>
                </a:r>
                <a:endParaRPr lang="en-US"/>
              </a:p>
            </c:rich>
          </c:tx>
          <c:overlay val="0"/>
        </c:title>
        <c:numFmt formatCode="0" sourceLinked="1"/>
        <c:majorTickMark val="out"/>
        <c:minorTickMark val="none"/>
        <c:tickLblPos val="nextTo"/>
        <c:txPr>
          <a:bodyPr rot="0" vert="horz"/>
          <a:lstStyle/>
          <a:p>
            <a:pPr>
              <a:defRPr sz="1000" b="0" i="0" u="none" strike="noStrike">
                <a:solidFill>
                  <a:srgbClr val="000000"/>
                </a:solidFill>
                <a:latin typeface="Calibri"/>
                <a:ea typeface="Calibri"/>
                <a:cs typeface="Calibri"/>
              </a:defRPr>
            </a:pPr>
            <a:endParaRPr lang="de-DE"/>
          </a:p>
        </c:txPr>
        <c:crossAx val="103372184"/>
        <c:crosses val="autoZero"/>
        <c:crossBetween val="midCat"/>
        <c:majorUnit val="15"/>
        <c:minorUnit val="5"/>
      </c:valAx>
    </c:plotArea>
    <c:legend>
      <c:legendPos val="r"/>
      <c:overlay val="0"/>
      <c:txPr>
        <a:bodyPr/>
        <a:lstStyle/>
        <a:p>
          <a:pPr>
            <a:defRPr sz="900" b="0" i="0" u="none" strike="noStrike">
              <a:solidFill>
                <a:srgbClr val="000000"/>
              </a:solidFill>
              <a:latin typeface="Calibri"/>
              <a:ea typeface="Calibri"/>
              <a:cs typeface="Calibri"/>
            </a:defRPr>
          </a:pPr>
          <a:endParaRPr lang="de-DE"/>
        </a:p>
      </c:txPr>
    </c:legend>
    <c:plotVisOnly val="1"/>
    <c:dispBlanksAs val="gap"/>
    <c:showDLblsOverMax val="0"/>
  </c:chart>
  <c:txPr>
    <a:bodyPr/>
    <a:lstStyle/>
    <a:p>
      <a:pPr>
        <a:defRPr sz="1000" b="0" i="0" u="none" strike="noStrike">
          <a:solidFill>
            <a:srgbClr val="000000"/>
          </a:solidFill>
          <a:latin typeface="Calibri"/>
          <a:ea typeface="Calibri"/>
          <a:cs typeface="Calibri"/>
        </a:defRPr>
      </a:pPr>
      <a:endParaRPr lang="de-DE"/>
    </a:p>
  </c:txPr>
  <c:printSettings>
    <c:headerFooter/>
    <c:pageMargins b="0.78740157499999996" l="0.7000000000000004" r="0.7000000000000004" t="0.78740157499999996"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Heizwärmebedarf HWB</a:t>
            </a:r>
            <a:r>
              <a:rPr lang="de-DE" sz="1800" b="1" i="0" u="none" strike="noStrike" baseline="-25000">
                <a:effectLst/>
                <a:latin typeface="Arial" panose="020B0604020202020204" pitchFamily="34" charset="0"/>
                <a:cs typeface="Arial" panose="020B0604020202020204" pitchFamily="34" charset="0"/>
              </a:rPr>
              <a:t>SK</a:t>
            </a:r>
            <a:r>
              <a:rPr lang="de-DE" sz="1800" b="1" i="0" u="none" strike="noStrike" baseline="0">
                <a:latin typeface="Arial" panose="020B0604020202020204" pitchFamily="34" charset="0"/>
                <a:cs typeface="Arial" panose="020B0604020202020204" pitchFamily="34" charset="0"/>
              </a:rPr>
              <a:t> </a:t>
            </a:r>
            <a:r>
              <a:rPr lang="en-US" sz="1800" b="1" i="0" u="none" strike="noStrike" baseline="0">
                <a:latin typeface="Arial"/>
                <a:cs typeface="Arial"/>
              </a:rPr>
              <a:t>minderbeheizte Gebäude</a:t>
            </a:r>
            <a:endParaRPr lang="en-US"/>
          </a:p>
        </c:rich>
      </c:tx>
      <c:overlay val="0"/>
    </c:title>
    <c:autoTitleDeleted val="0"/>
    <c:plotArea>
      <c:layout/>
      <c:lineChart>
        <c:grouping val="standard"/>
        <c:varyColors val="0"/>
        <c:ser>
          <c:idx val="1"/>
          <c:order val="0"/>
          <c:tx>
            <c:strRef>
              <c:f>'B1b Graphik'!$C$92:$D$92</c:f>
              <c:strCache>
                <c:ptCount val="1"/>
                <c:pt idx="0">
                  <c:v>Heizwärmebedarf</c:v>
                </c:pt>
              </c:strCache>
            </c:strRef>
          </c:tx>
          <c:spPr>
            <a:ln w="28575">
              <a:solidFill>
                <a:srgbClr val="C00000"/>
              </a:solidFill>
            </a:ln>
          </c:spPr>
          <c:marker>
            <c:symbol val="none"/>
          </c:marker>
          <c:cat>
            <c:numRef>
              <c:f>'B1b Graphik'!$C$94:$C$159</c:f>
              <c:numCache>
                <c:formatCode>0</c:formatCode>
                <c:ptCount val="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numCache>
            </c:numRef>
          </c:cat>
          <c:val>
            <c:numRef>
              <c:f>'B1b Graphik'!$D$94:$D$159</c:f>
              <c:numCache>
                <c:formatCode>0</c:formatCode>
                <c:ptCount val="66"/>
                <c:pt idx="0">
                  <c:v>40</c:v>
                </c:pt>
                <c:pt idx="1">
                  <c:v>40</c:v>
                </c:pt>
                <c:pt idx="2">
                  <c:v>40</c:v>
                </c:pt>
                <c:pt idx="3">
                  <c:v>40</c:v>
                </c:pt>
                <c:pt idx="4">
                  <c:v>40</c:v>
                </c:pt>
                <c:pt idx="5">
                  <c:v>40</c:v>
                </c:pt>
                <c:pt idx="6">
                  <c:v>40</c:v>
                </c:pt>
                <c:pt idx="7">
                  <c:v>40</c:v>
                </c:pt>
                <c:pt idx="8">
                  <c:v>40</c:v>
                </c:pt>
                <c:pt idx="9">
                  <c:v>40</c:v>
                </c:pt>
                <c:pt idx="10">
                  <c:v>40</c:v>
                </c:pt>
                <c:pt idx="11">
                  <c:v>40</c:v>
                </c:pt>
                <c:pt idx="12">
                  <c:v>40</c:v>
                </c:pt>
                <c:pt idx="13">
                  <c:v>40</c:v>
                </c:pt>
                <c:pt idx="14">
                  <c:v>40</c:v>
                </c:pt>
                <c:pt idx="15">
                  <c:v>40</c:v>
                </c:pt>
                <c:pt idx="16">
                  <c:v>38.918918918918919</c:v>
                </c:pt>
                <c:pt idx="17">
                  <c:v>37.837837837837839</c:v>
                </c:pt>
                <c:pt idx="18">
                  <c:v>36.756756756756758</c:v>
                </c:pt>
                <c:pt idx="19">
                  <c:v>35.675675675675677</c:v>
                </c:pt>
                <c:pt idx="20">
                  <c:v>34.594594594594597</c:v>
                </c:pt>
                <c:pt idx="21">
                  <c:v>33.513513513513516</c:v>
                </c:pt>
                <c:pt idx="22">
                  <c:v>32.432432432432435</c:v>
                </c:pt>
                <c:pt idx="23">
                  <c:v>31.351351351351354</c:v>
                </c:pt>
                <c:pt idx="24">
                  <c:v>30.270270270270274</c:v>
                </c:pt>
                <c:pt idx="25">
                  <c:v>29.189189189189189</c:v>
                </c:pt>
                <c:pt idx="26">
                  <c:v>28.108108108108109</c:v>
                </c:pt>
                <c:pt idx="27">
                  <c:v>27.027027027027028</c:v>
                </c:pt>
                <c:pt idx="28">
                  <c:v>25.945945945945947</c:v>
                </c:pt>
                <c:pt idx="29">
                  <c:v>24.864864864864867</c:v>
                </c:pt>
                <c:pt idx="30">
                  <c:v>23.783783783783786</c:v>
                </c:pt>
                <c:pt idx="31">
                  <c:v>22.702702702702705</c:v>
                </c:pt>
                <c:pt idx="32">
                  <c:v>21.621621621621621</c:v>
                </c:pt>
                <c:pt idx="33">
                  <c:v>20.54054054054054</c:v>
                </c:pt>
                <c:pt idx="34">
                  <c:v>19.45945945945946</c:v>
                </c:pt>
                <c:pt idx="35">
                  <c:v>18.378378378378379</c:v>
                </c:pt>
                <c:pt idx="36">
                  <c:v>17.297297297297298</c:v>
                </c:pt>
                <c:pt idx="37">
                  <c:v>16.216216216216218</c:v>
                </c:pt>
                <c:pt idx="38">
                  <c:v>15.135135135135137</c:v>
                </c:pt>
                <c:pt idx="39">
                  <c:v>14.054054054054054</c:v>
                </c:pt>
                <c:pt idx="40">
                  <c:v>12.972972972972974</c:v>
                </c:pt>
                <c:pt idx="41">
                  <c:v>11.891891891891893</c:v>
                </c:pt>
                <c:pt idx="42">
                  <c:v>10.810810810810811</c:v>
                </c:pt>
                <c:pt idx="43">
                  <c:v>9.7297297297297298</c:v>
                </c:pt>
                <c:pt idx="44">
                  <c:v>8.6486486486486491</c:v>
                </c:pt>
                <c:pt idx="45">
                  <c:v>7.5675675675675684</c:v>
                </c:pt>
                <c:pt idx="46">
                  <c:v>6.4864864864864868</c:v>
                </c:pt>
                <c:pt idx="47">
                  <c:v>5.4054054054054053</c:v>
                </c:pt>
                <c:pt idx="48">
                  <c:v>4.3243243243243246</c:v>
                </c:pt>
                <c:pt idx="49">
                  <c:v>3.2432432432432434</c:v>
                </c:pt>
                <c:pt idx="50">
                  <c:v>2.1621621621621623</c:v>
                </c:pt>
                <c:pt idx="51">
                  <c:v>1.0810810810810811</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extLst>
            <c:ext xmlns:c16="http://schemas.microsoft.com/office/drawing/2014/chart" uri="{C3380CC4-5D6E-409C-BE32-E72D297353CC}">
              <c16:uniqueId val="{00000000-4137-4BC4-B0D5-9F210898C7CA}"/>
            </c:ext>
          </c:extLst>
        </c:ser>
        <c:dLbls>
          <c:showLegendKey val="0"/>
          <c:showVal val="0"/>
          <c:showCatName val="0"/>
          <c:showSerName val="0"/>
          <c:showPercent val="0"/>
          <c:showBubbleSize val="0"/>
        </c:dLbls>
        <c:smooth val="0"/>
        <c:axId val="103365520"/>
        <c:axId val="103366304"/>
      </c:lineChart>
      <c:catAx>
        <c:axId val="103365520"/>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HWB</a:t>
                </a:r>
                <a:r>
                  <a:rPr lang="de-DE" sz="1200" b="1" i="0" u="none" strike="noStrike" baseline="-25000">
                    <a:effectLst/>
                    <a:latin typeface="Arial" panose="020B0604020202020204" pitchFamily="34" charset="0"/>
                    <a:cs typeface="Arial" panose="020B0604020202020204" pitchFamily="34" charset="0"/>
                  </a:rPr>
                  <a:t>SK</a:t>
                </a:r>
                <a:r>
                  <a:rPr lang="en-US" sz="1200">
                    <a:latin typeface="Arial"/>
                    <a:cs typeface="Arial"/>
                  </a:rPr>
                  <a:t> </a:t>
                </a:r>
                <a:r>
                  <a:rPr lang="en-US" sz="1000">
                    <a:latin typeface="Arial"/>
                    <a:cs typeface="Arial"/>
                  </a:rPr>
                  <a:t>in</a:t>
                </a:r>
                <a:r>
                  <a:rPr lang="en-US" sz="1000" baseline="0">
                    <a:latin typeface="Arial"/>
                    <a:cs typeface="Arial"/>
                  </a:rPr>
                  <a:t> </a:t>
                </a:r>
                <a:r>
                  <a:rPr lang="en-US">
                    <a:latin typeface="Arial"/>
                    <a:cs typeface="Arial"/>
                  </a:rPr>
                  <a:t>kWh/(m²a)</a:t>
                </a:r>
                <a:endParaRPr lang="en-US"/>
              </a:p>
            </c:rich>
          </c:tx>
          <c:overlay val="0"/>
        </c:title>
        <c:numFmt formatCode="0" sourceLinked="1"/>
        <c:majorTickMark val="out"/>
        <c:minorTickMark val="none"/>
        <c:tickLblPos val="nextTo"/>
        <c:txPr>
          <a:bodyPr rot="0" vert="horz"/>
          <a:lstStyle/>
          <a:p>
            <a:pPr>
              <a:defRPr/>
            </a:pPr>
            <a:endParaRPr lang="de-DE"/>
          </a:p>
        </c:txPr>
        <c:crossAx val="103366304"/>
        <c:crosses val="autoZero"/>
        <c:auto val="1"/>
        <c:lblAlgn val="ctr"/>
        <c:lblOffset val="100"/>
        <c:tickLblSkip val="4"/>
        <c:tickMarkSkip val="2"/>
        <c:noMultiLvlLbl val="0"/>
      </c:catAx>
      <c:valAx>
        <c:axId val="103366304"/>
        <c:scaling>
          <c:orientation val="minMax"/>
          <c:max val="60"/>
          <c:min val="0"/>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3365520"/>
        <c:crosses val="autoZero"/>
        <c:crossBetween val="midCat"/>
        <c:majorUnit val="10"/>
        <c:minorUnit val="1"/>
      </c:valAx>
    </c:plotArea>
    <c:legend>
      <c:legendPos val="r"/>
      <c:overlay val="0"/>
    </c:legend>
    <c:plotVisOnly val="1"/>
    <c:dispBlanksAs val="gap"/>
    <c:showDLblsOverMax val="0"/>
  </c:chart>
  <c:printSettings>
    <c:headerFooter/>
    <c:pageMargins b="0.78740157499999996" l="0.7" r="0.7" t="0.78740157499999996"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Kühlbedarf KB</a:t>
            </a:r>
            <a:r>
              <a:rPr lang="de-DE" sz="1800" b="1" i="0" u="none" strike="noStrike" baseline="-25000">
                <a:effectLst/>
                <a:latin typeface="Arial" panose="020B0604020202020204" pitchFamily="34" charset="0"/>
                <a:cs typeface="Arial" panose="020B0604020202020204" pitchFamily="34" charset="0"/>
              </a:rPr>
              <a:t>SK</a:t>
            </a:r>
            <a:r>
              <a:rPr lang="de-DE" sz="1800" b="1" i="0" u="none" strike="noStrike" baseline="0">
                <a:latin typeface="Arial" panose="020B0604020202020204" pitchFamily="34" charset="0"/>
                <a:cs typeface="Arial" panose="020B0604020202020204" pitchFamily="34" charset="0"/>
              </a:rPr>
              <a:t> </a:t>
            </a:r>
            <a:r>
              <a:rPr lang="en-US" sz="1800" b="1" i="0" u="none" strike="noStrike" baseline="0">
                <a:effectLst/>
              </a:rPr>
              <a:t>minderbeheizte Gebäude</a:t>
            </a:r>
            <a:endParaRPr lang="en-US"/>
          </a:p>
        </c:rich>
      </c:tx>
      <c:overlay val="0"/>
    </c:title>
    <c:autoTitleDeleted val="0"/>
    <c:plotArea>
      <c:layout/>
      <c:lineChart>
        <c:grouping val="standard"/>
        <c:varyColors val="0"/>
        <c:ser>
          <c:idx val="0"/>
          <c:order val="0"/>
          <c:tx>
            <c:strRef>
              <c:f>'B1b Graphik'!$I$92:$J$92</c:f>
              <c:strCache>
                <c:ptCount val="1"/>
                <c:pt idx="0">
                  <c:v>Kühlbedarf</c:v>
                </c:pt>
              </c:strCache>
            </c:strRef>
          </c:tx>
          <c:marker>
            <c:symbol val="none"/>
          </c:marker>
          <c:cat>
            <c:numRef>
              <c:f>'B1b Graphik'!$I$94:$I$134</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'B1b Graphik'!$J$94:$J$134</c:f>
              <c:numCache>
                <c:formatCode>0</c:formatCode>
                <c:ptCount val="41"/>
                <c:pt idx="0">
                  <c:v>45</c:v>
                </c:pt>
                <c:pt idx="1">
                  <c:v>45</c:v>
                </c:pt>
                <c:pt idx="2">
                  <c:v>45</c:v>
                </c:pt>
                <c:pt idx="3">
                  <c:v>45</c:v>
                </c:pt>
                <c:pt idx="4">
                  <c:v>45</c:v>
                </c:pt>
                <c:pt idx="5">
                  <c:v>45</c:v>
                </c:pt>
                <c:pt idx="6">
                  <c:v>45</c:v>
                </c:pt>
                <c:pt idx="7">
                  <c:v>45</c:v>
                </c:pt>
                <c:pt idx="8">
                  <c:v>45</c:v>
                </c:pt>
                <c:pt idx="9">
                  <c:v>45</c:v>
                </c:pt>
                <c:pt idx="10">
                  <c:v>45</c:v>
                </c:pt>
                <c:pt idx="11">
                  <c:v>45</c:v>
                </c:pt>
                <c:pt idx="12">
                  <c:v>45</c:v>
                </c:pt>
                <c:pt idx="13">
                  <c:v>42.5</c:v>
                </c:pt>
                <c:pt idx="14">
                  <c:v>40</c:v>
                </c:pt>
                <c:pt idx="15">
                  <c:v>37.5</c:v>
                </c:pt>
                <c:pt idx="16">
                  <c:v>35</c:v>
                </c:pt>
                <c:pt idx="17">
                  <c:v>32.5</c:v>
                </c:pt>
                <c:pt idx="18">
                  <c:v>30</c:v>
                </c:pt>
                <c:pt idx="19">
                  <c:v>27.5</c:v>
                </c:pt>
                <c:pt idx="20">
                  <c:v>25</c:v>
                </c:pt>
                <c:pt idx="21">
                  <c:v>22.5</c:v>
                </c:pt>
                <c:pt idx="22">
                  <c:v>20</c:v>
                </c:pt>
                <c:pt idx="23">
                  <c:v>17.5</c:v>
                </c:pt>
                <c:pt idx="24">
                  <c:v>15</c:v>
                </c:pt>
                <c:pt idx="25">
                  <c:v>12.5</c:v>
                </c:pt>
                <c:pt idx="26">
                  <c:v>10</c:v>
                </c:pt>
                <c:pt idx="27">
                  <c:v>7.5</c:v>
                </c:pt>
                <c:pt idx="28">
                  <c:v>5</c:v>
                </c:pt>
                <c:pt idx="29">
                  <c:v>2.5</c:v>
                </c:pt>
                <c:pt idx="30">
                  <c:v>0</c:v>
                </c:pt>
                <c:pt idx="31">
                  <c:v>0</c:v>
                </c:pt>
                <c:pt idx="32">
                  <c:v>0</c:v>
                </c:pt>
                <c:pt idx="33">
                  <c:v>0</c:v>
                </c:pt>
                <c:pt idx="34">
                  <c:v>0</c:v>
                </c:pt>
                <c:pt idx="35">
                  <c:v>0</c:v>
                </c:pt>
                <c:pt idx="36">
                  <c:v>0</c:v>
                </c:pt>
                <c:pt idx="37">
                  <c:v>0</c:v>
                </c:pt>
                <c:pt idx="38">
                  <c:v>0</c:v>
                </c:pt>
                <c:pt idx="39">
                  <c:v>0</c:v>
                </c:pt>
                <c:pt idx="40">
                  <c:v>0</c:v>
                </c:pt>
              </c:numCache>
            </c:numRef>
          </c:val>
          <c:smooth val="0"/>
          <c:extLst>
            <c:ext xmlns:c16="http://schemas.microsoft.com/office/drawing/2014/chart" uri="{C3380CC4-5D6E-409C-BE32-E72D297353CC}">
              <c16:uniqueId val="{00000000-151E-4673-8008-BBA6056911AB}"/>
            </c:ext>
          </c:extLst>
        </c:ser>
        <c:dLbls>
          <c:showLegendKey val="0"/>
          <c:showVal val="0"/>
          <c:showCatName val="0"/>
          <c:showSerName val="0"/>
          <c:showPercent val="0"/>
          <c:showBubbleSize val="0"/>
        </c:dLbls>
        <c:smooth val="0"/>
        <c:axId val="104017064"/>
        <c:axId val="104017456"/>
      </c:lineChart>
      <c:catAx>
        <c:axId val="104017064"/>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KB</a:t>
                </a:r>
                <a:r>
                  <a:rPr lang="de-DE" sz="1200" b="1" i="0" u="none" strike="noStrike" baseline="-25000">
                    <a:effectLst/>
                    <a:latin typeface="Arial" panose="020B0604020202020204" pitchFamily="34" charset="0"/>
                    <a:cs typeface="Arial" panose="020B0604020202020204" pitchFamily="34" charset="0"/>
                  </a:rPr>
                  <a:t>SK</a:t>
                </a:r>
                <a:r>
                  <a:rPr lang="en-US">
                    <a:latin typeface="Arial"/>
                    <a:cs typeface="Arial"/>
                  </a:rPr>
                  <a:t> in</a:t>
                </a:r>
                <a:r>
                  <a:rPr lang="en-US" baseline="0">
                    <a:latin typeface="Arial"/>
                    <a:cs typeface="Arial"/>
                  </a:rPr>
                  <a:t> </a:t>
                </a:r>
                <a:r>
                  <a:rPr lang="en-US">
                    <a:latin typeface="Arial"/>
                    <a:cs typeface="Arial"/>
                  </a:rPr>
                  <a:t>kWh/(m²a)</a:t>
                </a:r>
                <a:endParaRPr lang="en-US"/>
              </a:p>
            </c:rich>
          </c:tx>
          <c:overlay val="0"/>
        </c:title>
        <c:numFmt formatCode="0" sourceLinked="1"/>
        <c:majorTickMark val="out"/>
        <c:minorTickMark val="none"/>
        <c:tickLblPos val="nextTo"/>
        <c:crossAx val="104017456"/>
        <c:crosses val="autoZero"/>
        <c:auto val="1"/>
        <c:lblAlgn val="ctr"/>
        <c:lblOffset val="100"/>
        <c:tickLblSkip val="2"/>
        <c:tickMarkSkip val="1"/>
        <c:noMultiLvlLbl val="0"/>
      </c:catAx>
      <c:valAx>
        <c:axId val="104017456"/>
        <c:scaling>
          <c:orientation val="minMax"/>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4017064"/>
        <c:crosses val="autoZero"/>
        <c:crossBetween val="midCat"/>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800" b="1" i="0" u="none" strike="noStrike" baseline="0">
                <a:effectLst/>
                <a:latin typeface="Arial" panose="020B0604020202020204" pitchFamily="34" charset="0"/>
                <a:cs typeface="Arial" panose="020B0604020202020204" pitchFamily="34" charset="0"/>
              </a:rPr>
              <a:t>Gebäudehülle LEK</a:t>
            </a:r>
            <a:r>
              <a:rPr lang="de-DE" sz="1800" b="1" i="0" u="none" strike="noStrike" baseline="-25000">
                <a:effectLst/>
                <a:latin typeface="Arial" panose="020B0604020202020204" pitchFamily="34" charset="0"/>
                <a:cs typeface="Arial" panose="020B0604020202020204" pitchFamily="34" charset="0"/>
              </a:rPr>
              <a:t>T</a:t>
            </a:r>
            <a:r>
              <a:rPr lang="de-DE" sz="1800" b="1" i="0" u="none" strike="noStrike" baseline="0">
                <a:latin typeface="Arial" panose="020B0604020202020204" pitchFamily="34" charset="0"/>
                <a:cs typeface="Arial" panose="020B0604020202020204" pitchFamily="34" charset="0"/>
              </a:rPr>
              <a:t> </a:t>
            </a:r>
            <a:r>
              <a:rPr lang="en-US" sz="1800" b="1" i="0" u="none" strike="noStrike" baseline="0">
                <a:effectLst/>
              </a:rPr>
              <a:t>minderbeheizte Gebäude</a:t>
            </a:r>
            <a:endParaRPr lang="en-US"/>
          </a:p>
        </c:rich>
      </c:tx>
      <c:overlay val="0"/>
    </c:title>
    <c:autoTitleDeleted val="0"/>
    <c:plotArea>
      <c:layout/>
      <c:lineChart>
        <c:grouping val="standard"/>
        <c:varyColors val="0"/>
        <c:ser>
          <c:idx val="1"/>
          <c:order val="0"/>
          <c:tx>
            <c:strRef>
              <c:f>'B1b Graphik'!$F$92:$G$92</c:f>
              <c:strCache>
                <c:ptCount val="1"/>
                <c:pt idx="0">
                  <c:v>LEKT</c:v>
                </c:pt>
              </c:strCache>
            </c:strRef>
          </c:tx>
          <c:spPr>
            <a:ln w="28575">
              <a:solidFill>
                <a:schemeClr val="accent4">
                  <a:lumMod val="75000"/>
                </a:schemeClr>
              </a:solidFill>
            </a:ln>
          </c:spPr>
          <c:marker>
            <c:symbol val="none"/>
          </c:marker>
          <c:cat>
            <c:numRef>
              <c:f>'B1b Graphik'!$F$94:$F$129</c:f>
              <c:numCache>
                <c:formatCode>0</c:formatCode>
                <c:ptCount val="3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cat>
          <c:val>
            <c:numRef>
              <c:f>'B1b Graphik'!$G$94:$G$129</c:f>
              <c:numCache>
                <c:formatCode>0</c:formatCode>
                <c:ptCount val="3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44.444444444444443</c:v>
                </c:pt>
                <c:pt idx="17">
                  <c:v>38.888888888888886</c:v>
                </c:pt>
                <c:pt idx="18">
                  <c:v>33.333333333333329</c:v>
                </c:pt>
                <c:pt idx="19">
                  <c:v>27.777777777777779</c:v>
                </c:pt>
                <c:pt idx="20">
                  <c:v>22.222222222222221</c:v>
                </c:pt>
                <c:pt idx="21">
                  <c:v>16.666666666666664</c:v>
                </c:pt>
                <c:pt idx="22">
                  <c:v>11.111111111111111</c:v>
                </c:pt>
                <c:pt idx="23">
                  <c:v>5.5555555555555554</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0-B704-4F44-9B96-45AFC7F5D85D}"/>
            </c:ext>
          </c:extLst>
        </c:ser>
        <c:dLbls>
          <c:showLegendKey val="0"/>
          <c:showVal val="0"/>
          <c:showCatName val="0"/>
          <c:showSerName val="0"/>
          <c:showPercent val="0"/>
          <c:showBubbleSize val="0"/>
        </c:dLbls>
        <c:smooth val="0"/>
        <c:axId val="103365520"/>
        <c:axId val="103366304"/>
      </c:lineChart>
      <c:catAx>
        <c:axId val="103365520"/>
        <c:scaling>
          <c:orientation val="minMax"/>
        </c:scaling>
        <c:delete val="0"/>
        <c:axPos val="b"/>
        <c:title>
          <c:tx>
            <c:rich>
              <a:bodyPr/>
              <a:lstStyle/>
              <a:p>
                <a:pPr>
                  <a:defRPr/>
                </a:pPr>
                <a:r>
                  <a:rPr lang="de-DE" sz="1200" b="1" i="0" u="none" strike="noStrike" baseline="0">
                    <a:effectLst/>
                    <a:latin typeface="Arial" panose="020B0604020202020204" pitchFamily="34" charset="0"/>
                    <a:cs typeface="Arial" panose="020B0604020202020204" pitchFamily="34" charset="0"/>
                  </a:rPr>
                  <a:t>LEK</a:t>
                </a:r>
                <a:r>
                  <a:rPr lang="de-DE" sz="1200" b="1" i="0" u="none" strike="noStrike" baseline="-25000">
                    <a:effectLst/>
                    <a:latin typeface="Arial" panose="020B0604020202020204" pitchFamily="34" charset="0"/>
                    <a:cs typeface="Arial" panose="020B0604020202020204" pitchFamily="34" charset="0"/>
                  </a:rPr>
                  <a:t>T</a:t>
                </a:r>
                <a:r>
                  <a:rPr lang="en-US" sz="1200">
                    <a:latin typeface="Arial"/>
                    <a:cs typeface="Arial"/>
                  </a:rPr>
                  <a:t> (</a:t>
                </a:r>
                <a:r>
                  <a:rPr lang="en-US" sz="1000">
                    <a:latin typeface="Arial"/>
                    <a:cs typeface="Arial"/>
                  </a:rPr>
                  <a:t>dimensionslos)</a:t>
                </a:r>
                <a:endParaRPr lang="en-US"/>
              </a:p>
            </c:rich>
          </c:tx>
          <c:overlay val="0"/>
        </c:title>
        <c:numFmt formatCode="0" sourceLinked="1"/>
        <c:majorTickMark val="out"/>
        <c:minorTickMark val="none"/>
        <c:tickLblPos val="nextTo"/>
        <c:txPr>
          <a:bodyPr rot="0" vert="horz"/>
          <a:lstStyle/>
          <a:p>
            <a:pPr>
              <a:defRPr/>
            </a:pPr>
            <a:endParaRPr lang="de-DE"/>
          </a:p>
        </c:txPr>
        <c:crossAx val="103366304"/>
        <c:crosses val="autoZero"/>
        <c:auto val="1"/>
        <c:lblAlgn val="ctr"/>
        <c:lblOffset val="100"/>
        <c:tickLblSkip val="2"/>
        <c:tickMarkSkip val="1"/>
        <c:noMultiLvlLbl val="0"/>
      </c:catAx>
      <c:valAx>
        <c:axId val="103366304"/>
        <c:scaling>
          <c:orientation val="minMax"/>
          <c:max val="70"/>
          <c:min val="0"/>
        </c:scaling>
        <c:delete val="0"/>
        <c:axPos val="l"/>
        <c:majorGridlines/>
        <c:title>
          <c:tx>
            <c:rich>
              <a:bodyPr rot="-5400000" vert="horz"/>
              <a:lstStyle/>
              <a:p>
                <a:pPr>
                  <a:defRPr/>
                </a:pPr>
                <a:r>
                  <a:rPr lang="en-US">
                    <a:latin typeface="Arial"/>
                    <a:cs typeface="Arial"/>
                  </a:rPr>
                  <a:t>Punktevergabe</a:t>
                </a:r>
                <a:endParaRPr lang="en-US"/>
              </a:p>
            </c:rich>
          </c:tx>
          <c:overlay val="0"/>
        </c:title>
        <c:numFmt formatCode="0" sourceLinked="1"/>
        <c:majorTickMark val="out"/>
        <c:minorTickMark val="none"/>
        <c:tickLblPos val="nextTo"/>
        <c:crossAx val="103365520"/>
        <c:crosses val="autoZero"/>
        <c:crossBetween val="midCat"/>
        <c:majorUnit val="10"/>
      </c:valAx>
    </c:plotArea>
    <c:legend>
      <c:legendPos val="r"/>
      <c:overlay val="0"/>
    </c:legend>
    <c:plotVisOnly val="1"/>
    <c:dispBlanksAs val="gap"/>
    <c:showDLblsOverMax val="0"/>
  </c:chart>
  <c:printSettings>
    <c:headerFooter/>
    <c:pageMargins b="0.78740157499999996" l="0.7" r="0.7" t="0.78740157499999996" header="0.3" footer="0.3"/>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559901</xdr:colOff>
      <xdr:row>55</xdr:row>
      <xdr:rowOff>137302</xdr:rowOff>
    </xdr:from>
    <xdr:to>
      <xdr:col>14</xdr:col>
      <xdr:colOff>246185</xdr:colOff>
      <xdr:row>71</xdr:row>
      <xdr:rowOff>7517</xdr:rowOff>
    </xdr:to>
    <xdr:graphicFrame macro="">
      <xdr:nvGraphicFramePr>
        <xdr:cNvPr id="2" name="Diagramm 1">
          <a:extLst>
            <a:ext uri="{FF2B5EF4-FFF2-40B4-BE49-F238E27FC236}">
              <a16:creationId xmlns:a16="http://schemas.microsoft.com/office/drawing/2014/main" id="{58758870-D675-4F68-9C4A-FF1755843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540852</xdr:colOff>
      <xdr:row>73</xdr:row>
      <xdr:rowOff>6426</xdr:rowOff>
    </xdr:from>
    <xdr:to>
      <xdr:col>14</xdr:col>
      <xdr:colOff>152402</xdr:colOff>
      <xdr:row>87</xdr:row>
      <xdr:rowOff>162020</xdr:rowOff>
    </xdr:to>
    <xdr:graphicFrame macro="">
      <xdr:nvGraphicFramePr>
        <xdr:cNvPr id="3" name="Diagramm 2">
          <a:extLst>
            <a:ext uri="{FF2B5EF4-FFF2-40B4-BE49-F238E27FC236}">
              <a16:creationId xmlns:a16="http://schemas.microsoft.com/office/drawing/2014/main" id="{47C6D8A7-4965-4D86-8678-1BAF241CB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501393</xdr:colOff>
      <xdr:row>4</xdr:row>
      <xdr:rowOff>50589</xdr:rowOff>
    </xdr:from>
    <xdr:to>
      <xdr:col>14</xdr:col>
      <xdr:colOff>88263</xdr:colOff>
      <xdr:row>19</xdr:row>
      <xdr:rowOff>92203</xdr:rowOff>
    </xdr:to>
    <xdr:graphicFrame macro="">
      <xdr:nvGraphicFramePr>
        <xdr:cNvPr id="4" name="Diagramm 3">
          <a:extLst>
            <a:ext uri="{FF2B5EF4-FFF2-40B4-BE49-F238E27FC236}">
              <a16:creationId xmlns:a16="http://schemas.microsoft.com/office/drawing/2014/main" id="{62389D6C-B6B4-40E1-BB86-160DBE080E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510175</xdr:colOff>
      <xdr:row>38</xdr:row>
      <xdr:rowOff>135076</xdr:rowOff>
    </xdr:from>
    <xdr:to>
      <xdr:col>14</xdr:col>
      <xdr:colOff>124939</xdr:colOff>
      <xdr:row>53</xdr:row>
      <xdr:rowOff>175874</xdr:rowOff>
    </xdr:to>
    <xdr:graphicFrame macro="">
      <xdr:nvGraphicFramePr>
        <xdr:cNvPr id="5" name="Diagramm 7">
          <a:extLst>
            <a:ext uri="{FF2B5EF4-FFF2-40B4-BE49-F238E27FC236}">
              <a16:creationId xmlns:a16="http://schemas.microsoft.com/office/drawing/2014/main" id="{E6F03E3A-6E7C-42E7-B51D-9B5F1C0A9A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499755</xdr:colOff>
      <xdr:row>21</xdr:row>
      <xdr:rowOff>97972</xdr:rowOff>
    </xdr:from>
    <xdr:to>
      <xdr:col>14</xdr:col>
      <xdr:colOff>86625</xdr:colOff>
      <xdr:row>36</xdr:row>
      <xdr:rowOff>139586</xdr:rowOff>
    </xdr:to>
    <xdr:graphicFrame macro="">
      <xdr:nvGraphicFramePr>
        <xdr:cNvPr id="11" name="Diagramm 10">
          <a:extLst>
            <a:ext uri="{FF2B5EF4-FFF2-40B4-BE49-F238E27FC236}">
              <a16:creationId xmlns:a16="http://schemas.microsoft.com/office/drawing/2014/main" id="{CC14533A-74A4-4928-BB8A-70BC9189D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D42"/>
  <sheetViews>
    <sheetView showGridLines="0" zoomScaleNormal="100" zoomScalePageLayoutView="145" workbookViewId="0">
      <selection activeCell="A9" sqref="A9"/>
    </sheetView>
  </sheetViews>
  <sheetFormatPr baseColWidth="10" defaultColWidth="11.42578125" defaultRowHeight="12.75"/>
  <cols>
    <col min="1" max="1" width="43" customWidth="1"/>
    <col min="2" max="2" width="44.42578125" customWidth="1"/>
    <col min="3" max="3" width="0" hidden="1" customWidth="1"/>
  </cols>
  <sheetData>
    <row r="1" spans="1:4">
      <c r="A1" s="197"/>
    </row>
    <row r="2" spans="1:4" ht="12.75" customHeight="1">
      <c r="A2" s="744" t="s">
        <v>415</v>
      </c>
      <c r="B2" s="744"/>
    </row>
    <row r="3" spans="1:4">
      <c r="A3" s="744"/>
      <c r="B3" s="744"/>
    </row>
    <row r="4" spans="1:4">
      <c r="A4" s="744"/>
      <c r="B4" s="744"/>
    </row>
    <row r="5" spans="1:4">
      <c r="A5" s="744"/>
      <c r="B5" s="744"/>
    </row>
    <row r="6" spans="1:4">
      <c r="A6" s="744"/>
      <c r="B6" s="744"/>
    </row>
    <row r="7" spans="1:4">
      <c r="A7" s="744"/>
      <c r="B7" s="744"/>
    </row>
    <row r="8" spans="1:4">
      <c r="A8" s="744"/>
      <c r="B8" s="744"/>
    </row>
    <row r="9" spans="1:4" ht="7.5" customHeight="1" thickBot="1"/>
    <row r="10" spans="1:4" ht="21" thickBot="1">
      <c r="A10" s="740" t="s">
        <v>0</v>
      </c>
      <c r="B10" s="741"/>
      <c r="D10" s="183"/>
    </row>
    <row r="11" spans="1:4" ht="5.25" customHeight="1">
      <c r="A11" s="232"/>
      <c r="B11" s="232"/>
    </row>
    <row r="12" spans="1:4" ht="20.100000000000001" customHeight="1">
      <c r="A12" s="194" t="s">
        <v>1</v>
      </c>
      <c r="B12" s="189"/>
    </row>
    <row r="13" spans="1:4" ht="20.100000000000001" customHeight="1">
      <c r="A13" s="194" t="s">
        <v>2</v>
      </c>
      <c r="B13" s="189"/>
    </row>
    <row r="14" spans="1:4" ht="20.100000000000001" customHeight="1">
      <c r="A14" s="194" t="s">
        <v>3</v>
      </c>
      <c r="B14" s="189"/>
    </row>
    <row r="15" spans="1:4" ht="20.100000000000001" customHeight="1">
      <c r="A15" s="194" t="s">
        <v>4</v>
      </c>
      <c r="B15" s="189"/>
    </row>
    <row r="16" spans="1:4" ht="20.100000000000001" customHeight="1">
      <c r="A16" s="194" t="s">
        <v>5</v>
      </c>
      <c r="B16" s="189"/>
    </row>
    <row r="17" spans="1:4" ht="20.100000000000001" customHeight="1">
      <c r="A17" s="194" t="s">
        <v>6</v>
      </c>
      <c r="B17" s="190"/>
    </row>
    <row r="18" spans="1:4" ht="20.100000000000001" customHeight="1">
      <c r="A18" s="194" t="s">
        <v>7</v>
      </c>
      <c r="B18" s="190"/>
    </row>
    <row r="19" spans="1:4" ht="45" hidden="1" customHeight="1">
      <c r="A19" s="196" t="s">
        <v>8</v>
      </c>
      <c r="B19" s="177">
        <v>0</v>
      </c>
      <c r="C19">
        <v>0</v>
      </c>
    </row>
    <row r="20" spans="1:4" ht="18.75" customHeight="1">
      <c r="A20" s="195" t="s">
        <v>9</v>
      </c>
      <c r="B20" s="193">
        <f>Punktevergabe!G9</f>
        <v>90</v>
      </c>
      <c r="C20">
        <v>-30</v>
      </c>
    </row>
    <row r="21" spans="1:4" ht="9.75" customHeight="1" thickBot="1">
      <c r="A21" s="233"/>
      <c r="C21">
        <v>-50</v>
      </c>
    </row>
    <row r="22" spans="1:4" ht="21" thickBot="1">
      <c r="A22" s="742" t="s">
        <v>10</v>
      </c>
      <c r="B22" s="743"/>
      <c r="C22">
        <v>-60</v>
      </c>
      <c r="D22" s="183"/>
    </row>
    <row r="23" spans="1:4" ht="8.25" customHeight="1">
      <c r="C23">
        <v>-70</v>
      </c>
    </row>
    <row r="24" spans="1:4" ht="30" customHeight="1">
      <c r="A24" s="196" t="s">
        <v>11</v>
      </c>
      <c r="B24" s="189"/>
    </row>
    <row r="25" spans="1:4" ht="20.100000000000001" customHeight="1">
      <c r="A25" s="196" t="s">
        <v>12</v>
      </c>
      <c r="B25" s="189"/>
    </row>
    <row r="26" spans="1:4" ht="20.100000000000001" customHeight="1">
      <c r="A26" s="196" t="s">
        <v>13</v>
      </c>
      <c r="B26" s="190"/>
    </row>
    <row r="27" spans="1:4" ht="8.25" customHeight="1">
      <c r="A27" s="197"/>
    </row>
    <row r="28" spans="1:4">
      <c r="A28" s="197"/>
    </row>
    <row r="29" spans="1:4">
      <c r="A29" s="745" t="s">
        <v>342</v>
      </c>
      <c r="B29" s="746"/>
    </row>
    <row r="30" spans="1:4">
      <c r="A30" s="747"/>
      <c r="B30" s="748"/>
    </row>
    <row r="31" spans="1:4">
      <c r="A31" s="747"/>
      <c r="B31" s="748"/>
    </row>
    <row r="32" spans="1:4">
      <c r="A32" s="747"/>
      <c r="B32" s="748"/>
    </row>
    <row r="33" spans="1:2">
      <c r="A33" s="747"/>
      <c r="B33" s="748"/>
    </row>
    <row r="34" spans="1:2">
      <c r="A34" s="747"/>
      <c r="B34" s="748"/>
    </row>
    <row r="35" spans="1:2">
      <c r="A35" s="747"/>
      <c r="B35" s="748"/>
    </row>
    <row r="36" spans="1:2">
      <c r="A36" s="747"/>
      <c r="B36" s="748"/>
    </row>
    <row r="37" spans="1:2">
      <c r="A37" s="747"/>
      <c r="B37" s="748"/>
    </row>
    <row r="38" spans="1:2">
      <c r="A38" s="749"/>
      <c r="B38" s="750"/>
    </row>
    <row r="40" spans="1:2" ht="10.5" customHeight="1"/>
    <row r="41" spans="1:2" ht="21" customHeight="1">
      <c r="A41" s="194" t="s">
        <v>14</v>
      </c>
      <c r="B41" s="190"/>
    </row>
    <row r="42" spans="1:2" ht="69" customHeight="1">
      <c r="A42" s="194" t="s">
        <v>15</v>
      </c>
      <c r="B42" s="189"/>
    </row>
  </sheetData>
  <sheetProtection selectLockedCells="1"/>
  <mergeCells count="4">
    <mergeCell ref="A10:B10"/>
    <mergeCell ref="A22:B22"/>
    <mergeCell ref="A2:B8"/>
    <mergeCell ref="A29:B38"/>
  </mergeCells>
  <dataValidations disablePrompts="1" count="1">
    <dataValidation type="list" allowBlank="1" showInputMessage="1" showErrorMessage="1" sqref="B19">
      <formula1>$C$19:$C$23</formula1>
    </dataValidation>
  </dataValidations>
  <printOptions horizontalCentered="1"/>
  <pageMargins left="0.59055118110236227" right="0.59055118110236227" top="0.59055118110236227" bottom="0.59055118110236227"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47"/>
  <sheetViews>
    <sheetView zoomScale="85" zoomScaleNormal="85" workbookViewId="0">
      <selection activeCell="P85" sqref="P85"/>
    </sheetView>
  </sheetViews>
  <sheetFormatPr baseColWidth="10" defaultColWidth="11.42578125" defaultRowHeight="14.25"/>
  <cols>
    <col min="1" max="1" width="11.42578125" style="578"/>
    <col min="2" max="18" width="11.28515625" style="578" customWidth="1"/>
    <col min="19" max="16384" width="11.42578125" style="578"/>
  </cols>
  <sheetData>
    <row r="1" spans="2:17" ht="15" thickBot="1"/>
    <row r="2" spans="2:17">
      <c r="B2" s="935" t="s">
        <v>248</v>
      </c>
      <c r="C2" s="936"/>
      <c r="D2" s="937"/>
      <c r="E2" s="937"/>
      <c r="F2" s="937"/>
      <c r="G2" s="937"/>
      <c r="H2" s="937"/>
      <c r="I2" s="937"/>
      <c r="J2" s="937"/>
      <c r="K2" s="937"/>
      <c r="L2" s="937"/>
      <c r="M2" s="937"/>
      <c r="N2" s="937"/>
      <c r="O2" s="937"/>
      <c r="P2" s="937"/>
      <c r="Q2" s="938"/>
    </row>
    <row r="3" spans="2:17" ht="15" thickBot="1">
      <c r="B3" s="939"/>
      <c r="C3" s="940"/>
      <c r="D3" s="940"/>
      <c r="E3" s="940"/>
      <c r="F3" s="940"/>
      <c r="G3" s="940"/>
      <c r="H3" s="940"/>
      <c r="I3" s="940"/>
      <c r="J3" s="940"/>
      <c r="K3" s="940"/>
      <c r="L3" s="940"/>
      <c r="M3" s="940"/>
      <c r="N3" s="940"/>
      <c r="O3" s="940"/>
      <c r="P3" s="940"/>
      <c r="Q3" s="941"/>
    </row>
    <row r="4" spans="2:17">
      <c r="B4" s="579"/>
      <c r="C4" s="579"/>
      <c r="D4" s="579"/>
      <c r="E4" s="579"/>
      <c r="F4" s="579"/>
      <c r="G4" s="579"/>
      <c r="H4" s="579"/>
      <c r="I4" s="579"/>
      <c r="J4" s="579"/>
      <c r="K4" s="579"/>
      <c r="L4" s="579"/>
      <c r="M4" s="579"/>
      <c r="N4" s="579"/>
      <c r="O4" s="579"/>
      <c r="P4" s="579"/>
      <c r="Q4" s="579"/>
    </row>
    <row r="5" spans="2:17">
      <c r="B5" s="579"/>
      <c r="C5" s="579"/>
      <c r="D5" s="579"/>
      <c r="E5" s="579"/>
      <c r="F5" s="579"/>
      <c r="G5" s="579"/>
      <c r="H5" s="579"/>
      <c r="I5" s="579"/>
      <c r="J5" s="579"/>
      <c r="K5" s="579"/>
      <c r="L5" s="579"/>
      <c r="M5" s="579"/>
      <c r="N5" s="579"/>
      <c r="O5" s="579"/>
      <c r="P5" s="579"/>
      <c r="Q5" s="579"/>
    </row>
    <row r="6" spans="2:17">
      <c r="B6" s="579"/>
      <c r="C6" s="579"/>
      <c r="D6" s="579"/>
      <c r="E6" s="579"/>
      <c r="F6" s="579"/>
      <c r="G6" s="579"/>
      <c r="H6" s="579"/>
      <c r="I6" s="579"/>
      <c r="J6" s="579"/>
      <c r="K6" s="579"/>
      <c r="L6" s="579"/>
      <c r="M6" s="579"/>
      <c r="N6" s="579"/>
      <c r="O6" s="579"/>
      <c r="P6" s="579"/>
      <c r="Q6" s="579"/>
    </row>
    <row r="7" spans="2:17">
      <c r="B7" s="579"/>
      <c r="C7" s="579"/>
      <c r="D7" s="579"/>
      <c r="E7" s="579"/>
      <c r="F7" s="579"/>
      <c r="G7" s="579"/>
      <c r="H7" s="579"/>
      <c r="I7" s="579"/>
      <c r="J7" s="579"/>
      <c r="K7" s="579"/>
      <c r="L7" s="579"/>
      <c r="M7" s="579"/>
      <c r="N7" s="579"/>
      <c r="O7" s="579"/>
      <c r="P7" s="579"/>
      <c r="Q7" s="579"/>
    </row>
    <row r="8" spans="2:17">
      <c r="B8" s="579"/>
      <c r="C8" s="579"/>
      <c r="D8" s="579"/>
      <c r="E8" s="579"/>
      <c r="F8" s="579"/>
      <c r="G8" s="579"/>
      <c r="H8" s="579"/>
      <c r="I8" s="579"/>
      <c r="J8" s="579"/>
      <c r="K8" s="579"/>
      <c r="L8" s="579"/>
      <c r="M8" s="579"/>
      <c r="N8" s="579"/>
      <c r="O8" s="579"/>
      <c r="P8" s="579"/>
      <c r="Q8" s="579"/>
    </row>
    <row r="9" spans="2:17">
      <c r="B9" s="579"/>
      <c r="C9" s="579"/>
      <c r="D9" s="579"/>
      <c r="E9" s="579"/>
      <c r="F9" s="579"/>
      <c r="G9" s="579"/>
      <c r="H9" s="579"/>
      <c r="I9" s="579"/>
      <c r="J9" s="579"/>
      <c r="K9" s="579"/>
      <c r="L9" s="579"/>
      <c r="M9" s="579"/>
      <c r="N9" s="579"/>
      <c r="O9" s="579"/>
      <c r="P9" s="579"/>
      <c r="Q9" s="579"/>
    </row>
    <row r="10" spans="2:17">
      <c r="B10" s="579"/>
      <c r="C10" s="579"/>
      <c r="D10" s="579"/>
      <c r="E10" s="579"/>
      <c r="F10" s="579"/>
      <c r="G10" s="579"/>
      <c r="H10" s="579"/>
      <c r="I10" s="579"/>
      <c r="J10" s="579"/>
      <c r="K10" s="579"/>
      <c r="L10" s="579"/>
      <c r="M10" s="579"/>
      <c r="N10" s="579"/>
      <c r="O10" s="579"/>
      <c r="P10" s="579"/>
      <c r="Q10" s="579"/>
    </row>
    <row r="11" spans="2:17">
      <c r="B11" s="579"/>
      <c r="C11" s="579"/>
      <c r="D11" s="579"/>
      <c r="E11" s="579"/>
      <c r="F11" s="579"/>
      <c r="G11" s="579"/>
      <c r="H11" s="579"/>
      <c r="I11" s="579"/>
      <c r="J11" s="579"/>
      <c r="K11" s="579"/>
      <c r="L11" s="579"/>
      <c r="M11" s="579"/>
      <c r="N11" s="579"/>
      <c r="O11" s="579"/>
      <c r="P11" s="579"/>
      <c r="Q11" s="579"/>
    </row>
    <row r="12" spans="2:17">
      <c r="B12" s="579"/>
      <c r="C12" s="579"/>
      <c r="D12" s="579"/>
      <c r="E12" s="579"/>
      <c r="F12" s="579"/>
      <c r="G12" s="579"/>
      <c r="H12" s="579"/>
      <c r="I12" s="579"/>
      <c r="J12" s="579"/>
      <c r="K12" s="579"/>
      <c r="L12" s="579"/>
      <c r="M12" s="579"/>
      <c r="N12" s="579"/>
      <c r="O12" s="579"/>
      <c r="P12" s="579"/>
      <c r="Q12" s="579"/>
    </row>
    <row r="13" spans="2:17">
      <c r="B13" s="579"/>
      <c r="C13" s="579"/>
      <c r="D13" s="579"/>
      <c r="E13" s="579"/>
      <c r="F13" s="579"/>
      <c r="G13" s="579"/>
      <c r="H13" s="579"/>
      <c r="I13" s="579"/>
      <c r="J13" s="579"/>
      <c r="K13" s="579"/>
      <c r="L13" s="579"/>
      <c r="M13" s="579"/>
      <c r="N13" s="579"/>
      <c r="O13" s="579"/>
      <c r="P13" s="579"/>
      <c r="Q13" s="579"/>
    </row>
    <row r="14" spans="2:17">
      <c r="B14" s="579"/>
      <c r="C14" s="579"/>
      <c r="D14" s="579"/>
      <c r="E14" s="579"/>
      <c r="F14" s="579"/>
      <c r="G14" s="579"/>
      <c r="H14" s="579"/>
      <c r="I14" s="579"/>
      <c r="J14" s="579"/>
      <c r="K14" s="579"/>
      <c r="L14" s="579"/>
      <c r="M14" s="579"/>
      <c r="N14" s="579"/>
      <c r="O14" s="579"/>
      <c r="P14" s="579"/>
      <c r="Q14" s="579"/>
    </row>
    <row r="15" spans="2:17">
      <c r="B15" s="579"/>
      <c r="C15" s="579"/>
      <c r="D15" s="579"/>
      <c r="E15" s="579"/>
      <c r="F15" s="579"/>
      <c r="G15" s="579"/>
      <c r="H15" s="579"/>
      <c r="I15" s="579"/>
      <c r="J15" s="579"/>
      <c r="K15" s="579"/>
      <c r="L15" s="579"/>
      <c r="M15" s="579"/>
      <c r="N15" s="579"/>
      <c r="O15" s="579"/>
      <c r="P15" s="579"/>
      <c r="Q15" s="579"/>
    </row>
    <row r="16" spans="2:17">
      <c r="B16" s="579"/>
      <c r="C16" s="579"/>
      <c r="D16" s="579"/>
      <c r="E16" s="579"/>
      <c r="F16" s="579"/>
      <c r="G16" s="579"/>
      <c r="H16" s="579"/>
      <c r="I16" s="579"/>
      <c r="J16" s="579"/>
      <c r="K16" s="579"/>
      <c r="L16" s="579"/>
      <c r="M16" s="579"/>
      <c r="N16" s="579"/>
      <c r="O16" s="579"/>
      <c r="P16" s="579"/>
      <c r="Q16" s="579"/>
    </row>
    <row r="17" spans="2:17">
      <c r="B17" s="579"/>
      <c r="C17" s="579"/>
      <c r="D17" s="579"/>
      <c r="E17" s="579"/>
      <c r="F17" s="579"/>
      <c r="G17" s="579"/>
      <c r="H17" s="579"/>
      <c r="I17" s="579"/>
      <c r="J17" s="579"/>
      <c r="K17" s="579"/>
      <c r="L17" s="579"/>
      <c r="M17" s="579"/>
      <c r="N17" s="579"/>
      <c r="O17" s="579"/>
      <c r="P17" s="579"/>
      <c r="Q17" s="579"/>
    </row>
    <row r="18" spans="2:17">
      <c r="B18" s="579"/>
      <c r="C18" s="579"/>
      <c r="D18" s="579"/>
      <c r="E18" s="579"/>
      <c r="F18" s="579"/>
      <c r="G18" s="579"/>
      <c r="H18" s="579"/>
      <c r="I18" s="579"/>
      <c r="J18" s="579"/>
      <c r="K18" s="579"/>
      <c r="L18" s="579"/>
      <c r="M18" s="579"/>
      <c r="N18" s="579"/>
      <c r="O18" s="579"/>
      <c r="P18" s="579"/>
      <c r="Q18" s="579"/>
    </row>
    <row r="19" spans="2:17">
      <c r="B19" s="579"/>
      <c r="C19" s="579"/>
      <c r="D19" s="579"/>
      <c r="E19" s="579"/>
      <c r="F19" s="579"/>
      <c r="G19" s="579"/>
      <c r="H19" s="579"/>
      <c r="I19" s="579"/>
      <c r="J19" s="579"/>
      <c r="K19" s="579"/>
      <c r="L19" s="579"/>
      <c r="M19" s="579"/>
      <c r="N19" s="579"/>
      <c r="O19" s="579"/>
      <c r="P19" s="579"/>
      <c r="Q19" s="579"/>
    </row>
    <row r="20" spans="2:17">
      <c r="B20" s="579"/>
      <c r="C20" s="579"/>
      <c r="D20" s="579"/>
      <c r="E20" s="579"/>
      <c r="F20" s="579"/>
      <c r="G20" s="579"/>
      <c r="H20" s="579"/>
      <c r="I20" s="579"/>
      <c r="J20" s="579"/>
      <c r="K20" s="579"/>
      <c r="L20" s="579"/>
      <c r="M20" s="579"/>
      <c r="N20" s="579"/>
      <c r="O20" s="579"/>
      <c r="P20" s="579"/>
      <c r="Q20" s="579"/>
    </row>
    <row r="21" spans="2:17">
      <c r="B21" s="579"/>
      <c r="C21" s="579"/>
      <c r="D21" s="579"/>
      <c r="E21" s="579"/>
      <c r="F21" s="579"/>
      <c r="G21" s="579"/>
      <c r="H21" s="579"/>
      <c r="I21" s="579"/>
      <c r="J21" s="579"/>
      <c r="K21" s="579"/>
      <c r="L21" s="579"/>
      <c r="M21" s="579"/>
      <c r="N21" s="579"/>
      <c r="O21" s="579"/>
      <c r="P21" s="579"/>
      <c r="Q21" s="579"/>
    </row>
    <row r="22" spans="2:17">
      <c r="B22" s="579"/>
      <c r="C22" s="579"/>
      <c r="D22" s="579"/>
      <c r="E22" s="579"/>
      <c r="F22" s="579"/>
      <c r="G22" s="579"/>
      <c r="H22" s="579"/>
      <c r="I22" s="579"/>
      <c r="J22" s="579"/>
      <c r="K22" s="579"/>
      <c r="L22" s="579"/>
      <c r="M22" s="579"/>
      <c r="N22" s="579"/>
      <c r="O22" s="579"/>
      <c r="P22" s="579"/>
      <c r="Q22" s="579"/>
    </row>
    <row r="23" spans="2:17">
      <c r="B23" s="579"/>
      <c r="C23" s="579"/>
      <c r="D23" s="579"/>
      <c r="E23" s="579"/>
      <c r="F23" s="579"/>
      <c r="G23" s="579"/>
      <c r="H23" s="579"/>
      <c r="I23" s="579"/>
      <c r="J23" s="579"/>
      <c r="K23" s="579"/>
      <c r="L23" s="579"/>
      <c r="M23" s="579"/>
      <c r="N23" s="579"/>
      <c r="O23" s="579"/>
      <c r="P23" s="579"/>
      <c r="Q23" s="579"/>
    </row>
    <row r="24" spans="2:17">
      <c r="B24" s="579"/>
      <c r="C24" s="579"/>
      <c r="D24" s="579"/>
      <c r="E24" s="579"/>
      <c r="F24" s="579"/>
      <c r="G24" s="579"/>
      <c r="H24" s="579"/>
      <c r="I24" s="579"/>
      <c r="J24" s="579"/>
      <c r="K24" s="579"/>
      <c r="L24" s="579"/>
      <c r="M24" s="579"/>
      <c r="N24" s="579"/>
      <c r="O24" s="579"/>
      <c r="P24" s="579"/>
      <c r="Q24" s="579"/>
    </row>
    <row r="25" spans="2:17">
      <c r="B25" s="579"/>
      <c r="C25" s="579"/>
      <c r="D25" s="579"/>
      <c r="E25" s="579"/>
      <c r="F25" s="579"/>
      <c r="G25" s="579"/>
      <c r="H25" s="579"/>
      <c r="I25" s="579"/>
      <c r="J25" s="579"/>
      <c r="K25" s="579"/>
      <c r="L25" s="579"/>
      <c r="M25" s="579"/>
      <c r="N25" s="579"/>
      <c r="O25" s="579"/>
      <c r="P25" s="579"/>
      <c r="Q25" s="579"/>
    </row>
    <row r="26" spans="2:17">
      <c r="B26" s="579"/>
      <c r="C26" s="579"/>
      <c r="D26" s="579"/>
      <c r="E26" s="579"/>
      <c r="F26" s="579"/>
      <c r="G26" s="579"/>
      <c r="H26" s="579"/>
      <c r="I26" s="579"/>
      <c r="J26" s="579"/>
      <c r="K26" s="579"/>
      <c r="L26" s="579"/>
      <c r="M26" s="579"/>
      <c r="N26" s="579"/>
      <c r="O26" s="579"/>
      <c r="P26" s="579"/>
      <c r="Q26" s="579"/>
    </row>
    <row r="27" spans="2:17">
      <c r="B27" s="579"/>
      <c r="C27" s="579"/>
      <c r="D27" s="579"/>
      <c r="E27" s="579"/>
      <c r="F27" s="579"/>
      <c r="G27" s="579"/>
      <c r="H27" s="579"/>
      <c r="I27" s="579"/>
      <c r="J27" s="579"/>
      <c r="K27" s="579"/>
      <c r="L27" s="579"/>
      <c r="M27" s="579"/>
      <c r="N27" s="579"/>
      <c r="O27" s="579"/>
      <c r="P27" s="579"/>
      <c r="Q27" s="579"/>
    </row>
    <row r="28" spans="2:17">
      <c r="B28" s="579"/>
      <c r="C28" s="579"/>
      <c r="D28" s="579"/>
      <c r="E28" s="579"/>
      <c r="F28" s="579"/>
      <c r="G28" s="579"/>
      <c r="H28" s="579"/>
      <c r="I28" s="579"/>
      <c r="J28" s="579"/>
      <c r="K28" s="579"/>
      <c r="L28" s="579"/>
      <c r="M28" s="579"/>
      <c r="N28" s="579"/>
      <c r="O28" s="579"/>
      <c r="P28" s="579"/>
      <c r="Q28" s="579"/>
    </row>
    <row r="29" spans="2:17">
      <c r="B29" s="579"/>
      <c r="C29" s="579"/>
      <c r="D29" s="579"/>
      <c r="E29" s="579"/>
      <c r="F29" s="579"/>
      <c r="G29" s="579"/>
      <c r="H29" s="579"/>
      <c r="I29" s="579"/>
      <c r="J29" s="579"/>
      <c r="K29" s="579"/>
      <c r="L29" s="579"/>
      <c r="M29" s="579"/>
      <c r="N29" s="579"/>
      <c r="O29" s="579"/>
      <c r="P29" s="579"/>
      <c r="Q29" s="579"/>
    </row>
    <row r="30" spans="2:17">
      <c r="B30" s="579"/>
      <c r="C30" s="579"/>
      <c r="D30" s="579"/>
      <c r="E30" s="579"/>
      <c r="F30" s="579"/>
      <c r="G30" s="579"/>
      <c r="H30" s="579"/>
      <c r="I30" s="579"/>
      <c r="J30" s="579"/>
      <c r="K30" s="579"/>
      <c r="L30" s="579"/>
      <c r="M30" s="579"/>
      <c r="N30" s="579"/>
      <c r="O30" s="579"/>
      <c r="P30" s="579"/>
      <c r="Q30" s="579"/>
    </row>
    <row r="31" spans="2:17">
      <c r="B31" s="579"/>
      <c r="C31" s="579"/>
      <c r="D31" s="579"/>
      <c r="E31" s="579"/>
      <c r="F31" s="579"/>
      <c r="G31" s="579"/>
      <c r="H31" s="579"/>
      <c r="I31" s="579"/>
      <c r="J31" s="579"/>
      <c r="K31" s="579"/>
      <c r="L31" s="579"/>
      <c r="M31" s="579"/>
      <c r="N31" s="579"/>
      <c r="O31" s="579"/>
      <c r="P31" s="579"/>
      <c r="Q31" s="579"/>
    </row>
    <row r="32" spans="2:17">
      <c r="B32" s="579"/>
      <c r="C32" s="579"/>
      <c r="D32" s="579"/>
      <c r="E32" s="579"/>
      <c r="F32" s="579"/>
      <c r="G32" s="579"/>
      <c r="H32" s="579"/>
      <c r="I32" s="579"/>
      <c r="J32" s="579"/>
      <c r="K32" s="579"/>
      <c r="L32" s="579"/>
      <c r="M32" s="579"/>
      <c r="N32" s="579"/>
      <c r="O32" s="579"/>
      <c r="P32" s="579"/>
      <c r="Q32" s="579"/>
    </row>
    <row r="33" spans="2:17">
      <c r="B33" s="579"/>
      <c r="C33" s="579"/>
      <c r="D33" s="579"/>
      <c r="E33" s="579"/>
      <c r="F33" s="579"/>
      <c r="G33" s="579"/>
      <c r="H33" s="579"/>
      <c r="I33" s="579"/>
      <c r="J33" s="579"/>
      <c r="K33" s="579"/>
      <c r="L33" s="579"/>
      <c r="M33" s="579"/>
      <c r="N33" s="579"/>
      <c r="O33" s="579"/>
      <c r="P33" s="579"/>
      <c r="Q33" s="579"/>
    </row>
    <row r="34" spans="2:17">
      <c r="B34" s="579"/>
      <c r="C34" s="579"/>
      <c r="D34" s="579"/>
      <c r="E34" s="579"/>
      <c r="F34" s="579"/>
      <c r="G34" s="579"/>
      <c r="H34" s="579"/>
      <c r="I34" s="579"/>
      <c r="J34" s="579"/>
      <c r="K34" s="579"/>
      <c r="L34" s="579"/>
      <c r="M34" s="579"/>
      <c r="N34" s="579"/>
      <c r="O34" s="579"/>
      <c r="P34" s="579"/>
      <c r="Q34" s="579"/>
    </row>
    <row r="35" spans="2:17">
      <c r="B35" s="579"/>
      <c r="C35" s="579"/>
      <c r="D35" s="579"/>
      <c r="E35" s="579"/>
      <c r="F35" s="579"/>
      <c r="G35" s="579"/>
      <c r="H35" s="579"/>
      <c r="I35" s="579"/>
      <c r="J35" s="579"/>
      <c r="K35" s="579"/>
      <c r="L35" s="579"/>
      <c r="M35" s="579"/>
      <c r="N35" s="579"/>
      <c r="O35" s="579"/>
      <c r="P35" s="579"/>
      <c r="Q35" s="579"/>
    </row>
    <row r="36" spans="2:17">
      <c r="B36" s="579"/>
      <c r="C36" s="579"/>
      <c r="D36" s="579"/>
      <c r="E36" s="579"/>
      <c r="F36" s="579"/>
      <c r="G36" s="579"/>
      <c r="H36" s="579"/>
      <c r="I36" s="579"/>
      <c r="J36" s="579"/>
      <c r="K36" s="579"/>
      <c r="L36" s="579"/>
      <c r="M36" s="579"/>
      <c r="N36" s="579"/>
      <c r="O36" s="579"/>
      <c r="P36" s="579"/>
      <c r="Q36" s="579"/>
    </row>
    <row r="37" spans="2:17">
      <c r="B37" s="579"/>
      <c r="C37" s="579"/>
      <c r="D37" s="579"/>
      <c r="E37" s="579"/>
      <c r="F37" s="579"/>
      <c r="G37" s="579"/>
      <c r="H37" s="579"/>
      <c r="I37" s="579"/>
      <c r="J37" s="579"/>
      <c r="K37" s="579"/>
      <c r="L37" s="579"/>
      <c r="M37" s="579"/>
      <c r="N37" s="579"/>
      <c r="O37" s="579"/>
      <c r="P37" s="579"/>
      <c r="Q37" s="579"/>
    </row>
    <row r="38" spans="2:17">
      <c r="B38" s="579"/>
      <c r="C38" s="579"/>
      <c r="D38" s="579"/>
      <c r="E38" s="579"/>
      <c r="F38" s="579"/>
      <c r="G38" s="579"/>
      <c r="H38" s="579"/>
      <c r="I38" s="579"/>
      <c r="J38" s="579"/>
      <c r="K38" s="579"/>
      <c r="L38" s="579"/>
      <c r="M38" s="579"/>
      <c r="N38" s="579"/>
      <c r="O38" s="579"/>
      <c r="P38" s="579"/>
      <c r="Q38" s="579"/>
    </row>
    <row r="39" spans="2:17">
      <c r="B39" s="579"/>
      <c r="C39" s="579"/>
      <c r="D39" s="579"/>
      <c r="E39" s="579"/>
      <c r="F39" s="579"/>
      <c r="G39" s="579"/>
      <c r="H39" s="579"/>
      <c r="I39" s="579"/>
      <c r="J39" s="579"/>
      <c r="K39" s="579"/>
      <c r="L39" s="579"/>
      <c r="M39" s="579"/>
      <c r="N39" s="579"/>
      <c r="O39" s="579"/>
      <c r="P39" s="579"/>
      <c r="Q39" s="579"/>
    </row>
    <row r="40" spans="2:17">
      <c r="B40" s="579"/>
      <c r="C40" s="579"/>
      <c r="D40" s="579"/>
      <c r="E40" s="579"/>
      <c r="F40" s="579"/>
      <c r="G40" s="579"/>
      <c r="H40" s="579"/>
      <c r="I40" s="579"/>
      <c r="J40" s="579"/>
      <c r="K40" s="579"/>
      <c r="L40" s="579"/>
      <c r="M40" s="579"/>
      <c r="N40" s="579"/>
      <c r="O40" s="579"/>
      <c r="P40" s="579"/>
      <c r="Q40" s="579"/>
    </row>
    <row r="41" spans="2:17">
      <c r="B41" s="579"/>
      <c r="C41" s="579"/>
      <c r="D41" s="579"/>
      <c r="E41" s="579"/>
      <c r="F41" s="579"/>
      <c r="G41" s="579"/>
      <c r="H41" s="579"/>
      <c r="I41" s="579"/>
      <c r="J41" s="579"/>
      <c r="K41" s="579"/>
      <c r="L41" s="579"/>
      <c r="M41" s="579"/>
      <c r="N41" s="579"/>
      <c r="O41" s="579"/>
      <c r="P41" s="579"/>
      <c r="Q41" s="579"/>
    </row>
    <row r="42" spans="2:17">
      <c r="B42" s="579"/>
      <c r="C42" s="579"/>
      <c r="D42" s="579"/>
      <c r="E42" s="579"/>
      <c r="F42" s="579"/>
      <c r="G42" s="579"/>
      <c r="H42" s="579"/>
      <c r="I42" s="579"/>
      <c r="J42" s="579"/>
      <c r="K42" s="579"/>
      <c r="L42" s="579"/>
      <c r="M42" s="579"/>
      <c r="N42" s="579"/>
      <c r="O42" s="579"/>
      <c r="P42" s="579"/>
      <c r="Q42" s="579"/>
    </row>
    <row r="43" spans="2:17">
      <c r="B43" s="579"/>
      <c r="C43" s="579"/>
      <c r="D43" s="579"/>
      <c r="E43" s="579"/>
      <c r="F43" s="579"/>
      <c r="G43" s="579"/>
      <c r="H43" s="579"/>
      <c r="I43" s="579"/>
      <c r="J43" s="579"/>
      <c r="K43" s="579"/>
      <c r="L43" s="579"/>
      <c r="M43" s="579"/>
      <c r="N43" s="579"/>
      <c r="O43" s="579"/>
      <c r="P43" s="579"/>
      <c r="Q43" s="579"/>
    </row>
    <row r="44" spans="2:17">
      <c r="B44" s="579"/>
      <c r="C44" s="579"/>
      <c r="D44" s="579"/>
      <c r="E44" s="579"/>
      <c r="F44" s="579"/>
      <c r="G44" s="579"/>
      <c r="H44" s="579"/>
      <c r="I44" s="579"/>
      <c r="J44" s="579"/>
      <c r="K44" s="579"/>
      <c r="L44" s="579"/>
      <c r="M44" s="579"/>
      <c r="N44" s="579"/>
      <c r="O44" s="579"/>
      <c r="P44" s="579"/>
      <c r="Q44" s="579"/>
    </row>
    <row r="45" spans="2:17">
      <c r="B45" s="579"/>
      <c r="C45" s="579"/>
      <c r="D45" s="579"/>
      <c r="E45" s="579"/>
      <c r="F45" s="579"/>
      <c r="G45" s="579"/>
      <c r="H45" s="579"/>
      <c r="I45" s="579"/>
      <c r="J45" s="579"/>
      <c r="K45" s="579"/>
      <c r="L45" s="579"/>
      <c r="M45" s="579"/>
      <c r="N45" s="579"/>
      <c r="O45" s="579"/>
      <c r="P45" s="579"/>
      <c r="Q45" s="579"/>
    </row>
    <row r="46" spans="2:17">
      <c r="B46" s="579"/>
      <c r="C46" s="579"/>
      <c r="D46" s="579"/>
      <c r="E46" s="579"/>
      <c r="F46" s="579"/>
      <c r="G46" s="579"/>
      <c r="H46" s="579"/>
      <c r="I46" s="579"/>
      <c r="J46" s="579"/>
      <c r="K46" s="579"/>
      <c r="L46" s="579"/>
      <c r="M46" s="579"/>
      <c r="N46" s="579"/>
      <c r="O46" s="579"/>
      <c r="P46" s="579"/>
      <c r="Q46" s="579"/>
    </row>
    <row r="47" spans="2:17">
      <c r="B47" s="579"/>
      <c r="C47" s="579"/>
      <c r="D47" s="579"/>
      <c r="E47" s="579"/>
      <c r="F47" s="579"/>
      <c r="G47" s="579"/>
      <c r="H47" s="579"/>
      <c r="I47" s="579"/>
      <c r="J47" s="579"/>
      <c r="K47" s="579"/>
      <c r="L47" s="579"/>
      <c r="M47" s="579"/>
      <c r="N47" s="579"/>
      <c r="O47" s="579"/>
      <c r="P47" s="579"/>
      <c r="Q47" s="579"/>
    </row>
    <row r="48" spans="2:17">
      <c r="B48" s="579"/>
      <c r="C48" s="579"/>
      <c r="D48" s="579"/>
      <c r="E48" s="579"/>
      <c r="F48" s="579"/>
      <c r="G48" s="579"/>
      <c r="H48" s="579"/>
      <c r="I48" s="579"/>
      <c r="J48" s="579"/>
      <c r="K48" s="579"/>
      <c r="L48" s="579"/>
      <c r="M48" s="579"/>
      <c r="N48" s="579"/>
      <c r="O48" s="579"/>
      <c r="P48" s="579"/>
      <c r="Q48" s="579"/>
    </row>
    <row r="49" spans="2:17">
      <c r="B49" s="579"/>
      <c r="C49" s="579"/>
      <c r="D49" s="579"/>
      <c r="E49" s="579"/>
      <c r="F49" s="579"/>
      <c r="G49" s="579"/>
      <c r="H49" s="579"/>
      <c r="I49" s="579"/>
      <c r="J49" s="579"/>
      <c r="K49" s="579"/>
      <c r="L49" s="579"/>
      <c r="M49" s="579"/>
      <c r="N49" s="579"/>
      <c r="O49" s="579"/>
      <c r="P49" s="579"/>
      <c r="Q49" s="579"/>
    </row>
    <row r="50" spans="2:17">
      <c r="B50" s="579"/>
      <c r="C50" s="579"/>
      <c r="D50" s="579"/>
      <c r="E50" s="579"/>
      <c r="F50" s="579"/>
      <c r="G50" s="579"/>
      <c r="H50" s="579"/>
      <c r="I50" s="579"/>
      <c r="J50" s="579"/>
      <c r="K50" s="579"/>
      <c r="L50" s="579"/>
      <c r="M50" s="579"/>
      <c r="N50" s="579"/>
      <c r="O50" s="579"/>
      <c r="P50" s="579"/>
      <c r="Q50" s="579"/>
    </row>
    <row r="51" spans="2:17">
      <c r="B51" s="579"/>
      <c r="C51" s="579"/>
      <c r="D51" s="579"/>
      <c r="E51" s="579"/>
      <c r="F51" s="579"/>
      <c r="G51" s="579"/>
      <c r="H51" s="579"/>
      <c r="I51" s="579"/>
      <c r="J51" s="579"/>
      <c r="K51" s="579"/>
      <c r="L51" s="579"/>
      <c r="M51" s="579"/>
      <c r="N51" s="579"/>
      <c r="O51" s="579"/>
      <c r="P51" s="579"/>
      <c r="Q51" s="579"/>
    </row>
    <row r="52" spans="2:17">
      <c r="B52" s="579"/>
      <c r="C52" s="579"/>
      <c r="D52" s="579"/>
      <c r="E52" s="579"/>
      <c r="F52" s="579"/>
      <c r="G52" s="579"/>
      <c r="H52" s="579"/>
      <c r="I52" s="579"/>
      <c r="J52" s="579"/>
      <c r="K52" s="579"/>
      <c r="L52" s="579"/>
      <c r="M52" s="579"/>
      <c r="N52" s="579"/>
      <c r="O52" s="579"/>
      <c r="P52" s="579"/>
      <c r="Q52" s="579"/>
    </row>
    <row r="53" spans="2:17">
      <c r="B53" s="579"/>
      <c r="C53" s="579"/>
      <c r="D53" s="579"/>
      <c r="E53" s="579"/>
      <c r="F53" s="579"/>
      <c r="G53" s="579"/>
      <c r="H53" s="579"/>
      <c r="I53" s="579"/>
      <c r="J53" s="579"/>
      <c r="K53" s="579"/>
      <c r="L53" s="579"/>
      <c r="M53" s="579"/>
      <c r="N53" s="579"/>
      <c r="O53" s="579"/>
      <c r="P53" s="579"/>
      <c r="Q53" s="579"/>
    </row>
    <row r="54" spans="2:17">
      <c r="B54" s="579"/>
      <c r="C54" s="579"/>
      <c r="D54" s="579"/>
      <c r="E54" s="579"/>
      <c r="F54" s="579"/>
      <c r="G54" s="579"/>
      <c r="H54" s="579"/>
      <c r="I54" s="579"/>
      <c r="J54" s="579"/>
      <c r="K54" s="579"/>
      <c r="L54" s="579"/>
      <c r="M54" s="579"/>
      <c r="N54" s="579"/>
      <c r="O54" s="579"/>
      <c r="P54" s="579"/>
      <c r="Q54" s="579"/>
    </row>
    <row r="55" spans="2:17">
      <c r="B55" s="579"/>
      <c r="C55" s="579"/>
      <c r="D55" s="579"/>
      <c r="E55" s="579"/>
      <c r="F55" s="579"/>
      <c r="G55" s="579"/>
      <c r="H55" s="579"/>
      <c r="I55" s="579"/>
      <c r="J55" s="579"/>
      <c r="K55" s="579"/>
      <c r="L55" s="579"/>
      <c r="M55" s="579"/>
      <c r="N55" s="579"/>
      <c r="O55" s="579"/>
      <c r="P55" s="579"/>
      <c r="Q55" s="579"/>
    </row>
    <row r="56" spans="2:17">
      <c r="B56" s="579"/>
      <c r="C56" s="579"/>
      <c r="D56" s="579"/>
      <c r="E56" s="579"/>
      <c r="F56" s="579"/>
      <c r="G56" s="579"/>
      <c r="H56" s="579"/>
      <c r="I56" s="579"/>
      <c r="J56" s="579"/>
      <c r="K56" s="579"/>
      <c r="L56" s="579"/>
      <c r="M56" s="579"/>
      <c r="N56" s="579"/>
      <c r="O56" s="579"/>
      <c r="P56" s="579"/>
      <c r="Q56" s="579"/>
    </row>
    <row r="57" spans="2:17">
      <c r="B57" s="579"/>
      <c r="C57" s="579"/>
      <c r="D57" s="579"/>
      <c r="E57" s="579"/>
      <c r="F57" s="579"/>
      <c r="G57" s="579"/>
      <c r="H57" s="579"/>
      <c r="I57" s="579"/>
      <c r="J57" s="579"/>
      <c r="K57" s="579"/>
      <c r="L57" s="579"/>
      <c r="M57" s="579"/>
      <c r="N57" s="579"/>
      <c r="O57" s="579"/>
      <c r="P57" s="579"/>
      <c r="Q57" s="579"/>
    </row>
    <row r="58" spans="2:17">
      <c r="B58" s="579"/>
      <c r="C58" s="579"/>
      <c r="D58" s="579"/>
      <c r="E58" s="579"/>
      <c r="F58" s="579"/>
      <c r="G58" s="579"/>
      <c r="H58" s="579"/>
      <c r="I58" s="579"/>
      <c r="J58" s="579"/>
      <c r="K58" s="579"/>
      <c r="L58" s="579"/>
      <c r="M58" s="579"/>
      <c r="N58" s="579"/>
      <c r="O58" s="579"/>
      <c r="P58" s="579"/>
      <c r="Q58" s="579"/>
    </row>
    <row r="59" spans="2:17">
      <c r="B59" s="579"/>
      <c r="C59" s="579"/>
      <c r="D59" s="579"/>
      <c r="E59" s="579"/>
      <c r="F59" s="579"/>
      <c r="G59" s="579"/>
      <c r="H59" s="579"/>
      <c r="I59" s="579"/>
      <c r="J59" s="579"/>
      <c r="K59" s="579"/>
      <c r="L59" s="579"/>
      <c r="M59" s="579"/>
      <c r="N59" s="579"/>
      <c r="O59" s="579"/>
      <c r="P59" s="579"/>
      <c r="Q59" s="579"/>
    </row>
    <row r="60" spans="2:17">
      <c r="B60" s="579"/>
      <c r="C60" s="579"/>
      <c r="D60" s="579"/>
      <c r="E60" s="579"/>
      <c r="F60" s="579"/>
      <c r="G60" s="579"/>
      <c r="H60" s="579"/>
      <c r="I60" s="579"/>
      <c r="J60" s="579"/>
      <c r="K60" s="579"/>
      <c r="L60" s="579"/>
      <c r="M60" s="579"/>
      <c r="N60" s="579"/>
      <c r="O60" s="579"/>
      <c r="P60" s="579"/>
      <c r="Q60" s="579"/>
    </row>
    <row r="61" spans="2:17">
      <c r="B61" s="579"/>
      <c r="C61" s="579"/>
      <c r="D61" s="579"/>
      <c r="E61" s="579"/>
      <c r="F61" s="579"/>
      <c r="G61" s="579"/>
      <c r="H61" s="579"/>
      <c r="I61" s="579"/>
      <c r="J61" s="579"/>
      <c r="K61" s="579"/>
      <c r="L61" s="579"/>
      <c r="M61" s="579"/>
      <c r="N61" s="579"/>
      <c r="O61" s="579"/>
      <c r="P61" s="579"/>
      <c r="Q61" s="579"/>
    </row>
    <row r="62" spans="2:17">
      <c r="B62" s="579"/>
      <c r="C62" s="579"/>
      <c r="D62" s="579"/>
      <c r="E62" s="579"/>
      <c r="F62" s="579"/>
      <c r="G62" s="579"/>
      <c r="H62" s="579"/>
      <c r="I62" s="579"/>
      <c r="J62" s="579"/>
      <c r="K62" s="579"/>
      <c r="L62" s="579"/>
      <c r="M62" s="579"/>
      <c r="N62" s="579"/>
      <c r="O62" s="579"/>
      <c r="P62" s="579"/>
      <c r="Q62" s="579"/>
    </row>
    <row r="63" spans="2:17">
      <c r="B63" s="579"/>
      <c r="C63" s="579"/>
      <c r="D63" s="579"/>
      <c r="E63" s="579"/>
      <c r="F63" s="579"/>
      <c r="G63" s="579"/>
      <c r="H63" s="579"/>
      <c r="I63" s="579"/>
      <c r="J63" s="579"/>
      <c r="K63" s="579"/>
      <c r="L63" s="579"/>
      <c r="M63" s="579"/>
      <c r="N63" s="579"/>
      <c r="O63" s="579"/>
      <c r="P63" s="579"/>
      <c r="Q63" s="579"/>
    </row>
    <row r="64" spans="2:17">
      <c r="B64" s="579"/>
      <c r="C64" s="579"/>
      <c r="D64" s="579"/>
      <c r="E64" s="579"/>
      <c r="F64" s="579"/>
      <c r="G64" s="579"/>
      <c r="H64" s="579"/>
      <c r="I64" s="579"/>
      <c r="J64" s="579"/>
      <c r="K64" s="579"/>
      <c r="L64" s="579"/>
      <c r="M64" s="579"/>
      <c r="N64" s="579"/>
      <c r="O64" s="579"/>
      <c r="P64" s="579"/>
      <c r="Q64" s="579"/>
    </row>
    <row r="65" spans="2:17">
      <c r="B65" s="579"/>
      <c r="C65" s="579"/>
      <c r="D65" s="579"/>
      <c r="E65" s="579"/>
      <c r="F65" s="579"/>
      <c r="G65" s="579"/>
      <c r="H65" s="579"/>
      <c r="I65" s="579"/>
      <c r="J65" s="579"/>
      <c r="K65" s="579"/>
      <c r="L65" s="579"/>
      <c r="M65" s="579"/>
      <c r="N65" s="579"/>
      <c r="O65" s="579"/>
      <c r="P65" s="579"/>
      <c r="Q65" s="579"/>
    </row>
    <row r="66" spans="2:17">
      <c r="B66" s="579"/>
      <c r="C66" s="579"/>
      <c r="D66" s="579"/>
      <c r="E66" s="579"/>
      <c r="F66" s="579"/>
      <c r="G66" s="579"/>
      <c r="H66" s="579"/>
      <c r="I66" s="579"/>
      <c r="J66" s="579"/>
      <c r="K66" s="579"/>
      <c r="L66" s="579"/>
      <c r="M66" s="579"/>
      <c r="N66" s="579"/>
      <c r="O66" s="579"/>
      <c r="P66" s="579"/>
      <c r="Q66" s="579"/>
    </row>
    <row r="67" spans="2:17">
      <c r="B67" s="579"/>
      <c r="C67" s="579"/>
      <c r="D67" s="579"/>
      <c r="E67" s="579"/>
      <c r="F67" s="579"/>
      <c r="G67" s="579"/>
      <c r="H67" s="579"/>
      <c r="I67" s="579"/>
      <c r="J67" s="579"/>
      <c r="K67" s="579"/>
      <c r="L67" s="579"/>
      <c r="M67" s="579"/>
      <c r="N67" s="579"/>
      <c r="O67" s="579"/>
      <c r="P67" s="579"/>
      <c r="Q67" s="579"/>
    </row>
    <row r="68" spans="2:17">
      <c r="B68" s="579"/>
      <c r="C68" s="579"/>
      <c r="D68" s="579"/>
      <c r="E68" s="579"/>
      <c r="F68" s="579"/>
      <c r="G68" s="579"/>
      <c r="H68" s="579"/>
      <c r="I68" s="579"/>
      <c r="J68" s="579"/>
      <c r="K68" s="579"/>
      <c r="L68" s="579"/>
      <c r="M68" s="579"/>
      <c r="N68" s="579"/>
      <c r="O68" s="579"/>
      <c r="P68" s="579"/>
      <c r="Q68" s="579"/>
    </row>
    <row r="69" spans="2:17">
      <c r="B69" s="579"/>
      <c r="C69" s="579"/>
      <c r="D69" s="579"/>
      <c r="E69" s="579"/>
      <c r="F69" s="579"/>
      <c r="G69" s="579"/>
      <c r="H69" s="579"/>
      <c r="I69" s="579"/>
      <c r="J69" s="579"/>
      <c r="K69" s="579"/>
      <c r="L69" s="579"/>
      <c r="M69" s="579"/>
      <c r="N69" s="579"/>
      <c r="O69" s="579"/>
      <c r="P69" s="579"/>
      <c r="Q69" s="579"/>
    </row>
    <row r="70" spans="2:17">
      <c r="B70" s="579"/>
      <c r="C70" s="579"/>
      <c r="D70" s="579"/>
      <c r="E70" s="579"/>
      <c r="F70" s="579"/>
      <c r="G70" s="579"/>
      <c r="H70" s="579"/>
      <c r="I70" s="579"/>
      <c r="J70" s="579"/>
      <c r="K70" s="579"/>
      <c r="L70" s="579"/>
      <c r="M70" s="579"/>
      <c r="N70" s="579"/>
      <c r="O70" s="579"/>
      <c r="P70" s="579"/>
      <c r="Q70" s="579"/>
    </row>
    <row r="71" spans="2:17">
      <c r="B71" s="579"/>
      <c r="C71" s="579"/>
      <c r="D71" s="579"/>
      <c r="E71" s="579"/>
      <c r="F71" s="579"/>
      <c r="G71" s="579"/>
      <c r="H71" s="579"/>
      <c r="I71" s="579"/>
      <c r="J71" s="579"/>
      <c r="K71" s="579"/>
      <c r="L71" s="579"/>
      <c r="M71" s="579"/>
      <c r="N71" s="579"/>
      <c r="O71" s="579"/>
      <c r="P71" s="579"/>
      <c r="Q71" s="579"/>
    </row>
    <row r="72" spans="2:17">
      <c r="B72" s="579"/>
      <c r="C72" s="579"/>
      <c r="D72" s="579"/>
      <c r="E72" s="579"/>
      <c r="F72" s="579"/>
      <c r="G72" s="579"/>
      <c r="H72" s="579"/>
      <c r="I72" s="579"/>
      <c r="J72" s="579"/>
      <c r="K72" s="579"/>
      <c r="L72" s="579"/>
      <c r="M72" s="579"/>
      <c r="N72" s="579"/>
      <c r="O72" s="579"/>
      <c r="P72" s="579"/>
      <c r="Q72" s="579"/>
    </row>
    <row r="73" spans="2:17">
      <c r="B73" s="579"/>
      <c r="C73" s="579"/>
      <c r="D73" s="579"/>
      <c r="E73" s="579"/>
      <c r="F73" s="579"/>
      <c r="G73" s="579"/>
      <c r="H73" s="579"/>
      <c r="I73" s="579"/>
      <c r="J73" s="579"/>
      <c r="K73" s="579"/>
      <c r="L73" s="579"/>
      <c r="M73" s="579"/>
      <c r="N73" s="579"/>
      <c r="O73" s="579"/>
      <c r="P73" s="579"/>
      <c r="Q73" s="579"/>
    </row>
    <row r="74" spans="2:17">
      <c r="B74" s="579"/>
      <c r="C74" s="579"/>
      <c r="D74" s="580"/>
      <c r="E74" s="581"/>
      <c r="F74" s="580"/>
      <c r="G74" s="579"/>
      <c r="H74" s="579"/>
      <c r="I74" s="579"/>
      <c r="J74" s="579"/>
      <c r="K74" s="579"/>
      <c r="L74" s="579"/>
      <c r="M74" s="579"/>
      <c r="N74" s="579"/>
      <c r="O74" s="579"/>
      <c r="P74" s="579"/>
      <c r="Q74" s="579"/>
    </row>
    <row r="75" spans="2:17">
      <c r="B75" s="579"/>
      <c r="C75" s="579"/>
      <c r="D75" s="580"/>
      <c r="E75" s="581"/>
      <c r="F75" s="580"/>
      <c r="G75" s="579"/>
      <c r="H75" s="579"/>
      <c r="I75" s="579"/>
      <c r="J75" s="579"/>
      <c r="K75" s="579"/>
      <c r="L75" s="579"/>
      <c r="M75" s="579"/>
      <c r="N75" s="579"/>
      <c r="O75" s="579"/>
      <c r="P75" s="579"/>
      <c r="Q75" s="579"/>
    </row>
    <row r="76" spans="2:17">
      <c r="B76" s="579"/>
      <c r="C76" s="579"/>
      <c r="D76" s="580"/>
      <c r="E76" s="581"/>
      <c r="F76" s="580"/>
      <c r="G76" s="579"/>
      <c r="H76" s="579"/>
      <c r="I76" s="579"/>
      <c r="J76" s="579"/>
      <c r="K76" s="579"/>
      <c r="L76" s="579"/>
      <c r="M76" s="579"/>
      <c r="N76" s="579"/>
      <c r="O76" s="579"/>
      <c r="P76" s="579"/>
      <c r="Q76" s="579"/>
    </row>
    <row r="77" spans="2:17">
      <c r="B77" s="579"/>
      <c r="C77" s="579"/>
      <c r="D77" s="580"/>
      <c r="E77" s="581"/>
      <c r="F77" s="580"/>
      <c r="G77" s="579"/>
      <c r="H77" s="579"/>
      <c r="I77" s="579"/>
      <c r="J77" s="579"/>
      <c r="K77" s="579"/>
      <c r="L77" s="579"/>
      <c r="M77" s="579"/>
      <c r="N77" s="579"/>
      <c r="O77" s="579"/>
      <c r="P77" s="579"/>
      <c r="Q77" s="579"/>
    </row>
    <row r="78" spans="2:17">
      <c r="B78" s="579"/>
      <c r="C78" s="579"/>
      <c r="D78" s="580"/>
      <c r="E78" s="581"/>
      <c r="F78" s="580"/>
      <c r="G78" s="579"/>
      <c r="H78" s="579"/>
      <c r="I78" s="579"/>
      <c r="J78" s="579"/>
      <c r="K78" s="579"/>
      <c r="L78" s="579"/>
      <c r="M78" s="579"/>
      <c r="N78" s="579"/>
      <c r="O78" s="579"/>
      <c r="P78" s="579"/>
      <c r="Q78" s="579"/>
    </row>
    <row r="79" spans="2:17">
      <c r="B79" s="579"/>
      <c r="C79" s="579"/>
      <c r="D79" s="580"/>
      <c r="E79" s="581"/>
      <c r="F79" s="580"/>
      <c r="G79" s="579"/>
      <c r="H79" s="579"/>
      <c r="I79" s="579"/>
      <c r="J79" s="579"/>
      <c r="K79" s="579"/>
      <c r="L79" s="579"/>
      <c r="M79" s="579"/>
      <c r="N79" s="579"/>
      <c r="O79" s="579"/>
      <c r="P79" s="579"/>
      <c r="Q79" s="579"/>
    </row>
    <row r="80" spans="2:17">
      <c r="B80" s="579"/>
      <c r="C80" s="579"/>
      <c r="D80" s="580"/>
      <c r="E80" s="581"/>
      <c r="F80" s="580"/>
      <c r="G80" s="579"/>
      <c r="H80" s="579"/>
      <c r="I80" s="579"/>
      <c r="J80" s="579"/>
      <c r="K80" s="579"/>
      <c r="L80" s="579"/>
      <c r="M80" s="579"/>
      <c r="N80" s="579"/>
      <c r="O80" s="579"/>
      <c r="P80" s="579"/>
      <c r="Q80" s="579"/>
    </row>
    <row r="81" spans="2:17">
      <c r="B81" s="579"/>
      <c r="C81" s="579"/>
      <c r="D81" s="580"/>
      <c r="E81" s="581"/>
      <c r="F81" s="580"/>
      <c r="G81" s="579"/>
      <c r="H81" s="579"/>
      <c r="I81" s="579"/>
      <c r="J81" s="579"/>
      <c r="K81" s="579"/>
      <c r="L81" s="579"/>
      <c r="M81" s="579"/>
      <c r="N81" s="579"/>
      <c r="O81" s="579"/>
      <c r="P81" s="579"/>
      <c r="Q81" s="579"/>
    </row>
    <row r="82" spans="2:17">
      <c r="B82" s="579"/>
      <c r="C82" s="579"/>
      <c r="D82" s="580"/>
      <c r="E82" s="581"/>
      <c r="F82" s="580"/>
      <c r="G82" s="579"/>
      <c r="H82" s="579"/>
      <c r="I82" s="579"/>
      <c r="J82" s="579"/>
      <c r="K82" s="579"/>
      <c r="L82" s="579"/>
      <c r="M82" s="579"/>
      <c r="N82" s="579"/>
      <c r="O82" s="579"/>
      <c r="P82" s="579"/>
      <c r="Q82" s="579"/>
    </row>
    <row r="83" spans="2:17">
      <c r="B83" s="579"/>
      <c r="C83" s="579"/>
      <c r="D83" s="580"/>
      <c r="E83" s="581"/>
      <c r="F83" s="580"/>
      <c r="G83" s="579"/>
      <c r="H83" s="579"/>
      <c r="I83" s="579"/>
      <c r="J83" s="579"/>
      <c r="K83" s="579"/>
      <c r="L83" s="579"/>
      <c r="M83" s="579"/>
      <c r="N83" s="579"/>
      <c r="O83" s="579"/>
      <c r="P83" s="579"/>
      <c r="Q83" s="579"/>
    </row>
    <row r="84" spans="2:17">
      <c r="B84" s="579"/>
      <c r="C84" s="579"/>
      <c r="D84" s="580"/>
      <c r="E84" s="581"/>
      <c r="F84" s="580"/>
      <c r="G84" s="579"/>
      <c r="H84" s="579"/>
      <c r="I84" s="579"/>
      <c r="J84" s="579"/>
      <c r="K84" s="579"/>
      <c r="L84" s="579"/>
      <c r="M84" s="579"/>
      <c r="N84" s="579"/>
      <c r="O84" s="579"/>
      <c r="P84" s="579"/>
      <c r="Q84" s="579"/>
    </row>
    <row r="85" spans="2:17">
      <c r="B85" s="579"/>
      <c r="C85" s="579"/>
      <c r="D85" s="580"/>
      <c r="E85" s="581"/>
      <c r="F85" s="580"/>
      <c r="G85" s="579"/>
      <c r="H85" s="579"/>
      <c r="I85" s="579"/>
      <c r="J85" s="579"/>
      <c r="K85" s="579"/>
      <c r="L85" s="579"/>
      <c r="M85" s="579"/>
      <c r="N85" s="579"/>
      <c r="O85" s="579"/>
      <c r="P85" s="579"/>
      <c r="Q85" s="579"/>
    </row>
    <row r="86" spans="2:17">
      <c r="B86" s="579"/>
      <c r="C86" s="579"/>
      <c r="D86" s="580"/>
      <c r="E86" s="581"/>
      <c r="F86" s="580"/>
      <c r="G86" s="579"/>
      <c r="H86" s="579"/>
      <c r="I86" s="579"/>
      <c r="J86" s="579"/>
      <c r="K86" s="579"/>
      <c r="L86" s="579"/>
      <c r="M86" s="579"/>
      <c r="N86" s="579"/>
      <c r="O86" s="579"/>
      <c r="P86" s="579"/>
      <c r="Q86" s="579"/>
    </row>
    <row r="87" spans="2:17">
      <c r="B87" s="579"/>
      <c r="C87" s="579"/>
      <c r="D87" s="580"/>
      <c r="E87" s="581"/>
      <c r="F87" s="580"/>
      <c r="G87" s="579"/>
      <c r="H87" s="579"/>
      <c r="I87" s="579"/>
      <c r="J87" s="579"/>
      <c r="K87" s="579"/>
      <c r="L87" s="579"/>
      <c r="M87" s="579"/>
      <c r="N87" s="579"/>
      <c r="O87" s="579"/>
      <c r="P87" s="579"/>
      <c r="Q87" s="579"/>
    </row>
    <row r="88" spans="2:17">
      <c r="B88" s="579"/>
      <c r="C88" s="579"/>
      <c r="D88" s="580"/>
      <c r="E88" s="581"/>
      <c r="F88" s="580"/>
      <c r="G88" s="579"/>
      <c r="H88" s="579"/>
      <c r="I88" s="579"/>
      <c r="J88" s="579"/>
      <c r="K88" s="579"/>
      <c r="L88" s="579"/>
      <c r="M88" s="579"/>
      <c r="N88" s="579"/>
      <c r="O88" s="579"/>
      <c r="P88" s="579"/>
      <c r="Q88" s="579"/>
    </row>
    <row r="89" spans="2:17">
      <c r="B89" s="579"/>
      <c r="C89" s="579"/>
      <c r="D89" s="580"/>
      <c r="E89" s="581"/>
      <c r="F89" s="580"/>
      <c r="G89" s="579"/>
      <c r="H89" s="579"/>
      <c r="I89" s="579"/>
      <c r="J89" s="579"/>
      <c r="K89" s="579"/>
      <c r="L89" s="579"/>
      <c r="M89" s="579"/>
      <c r="N89" s="579"/>
      <c r="O89" s="579"/>
      <c r="P89" s="579"/>
      <c r="Q89" s="579"/>
    </row>
    <row r="90" spans="2:17">
      <c r="B90" s="579"/>
      <c r="C90" s="579"/>
      <c r="D90" s="580"/>
      <c r="E90" s="581"/>
      <c r="F90" s="580"/>
      <c r="G90" s="579"/>
      <c r="H90" s="579"/>
      <c r="I90" s="579"/>
      <c r="J90" s="579"/>
      <c r="K90" s="579"/>
      <c r="L90" s="579"/>
      <c r="M90" s="579"/>
      <c r="N90" s="579"/>
      <c r="O90" s="579"/>
      <c r="P90" s="579"/>
      <c r="Q90" s="579"/>
    </row>
    <row r="91" spans="2:17">
      <c r="B91" s="579"/>
      <c r="C91" s="579"/>
      <c r="D91" s="580"/>
      <c r="E91" s="581"/>
      <c r="F91" s="580"/>
      <c r="G91" s="579"/>
      <c r="H91" s="579"/>
      <c r="I91" s="579"/>
      <c r="J91" s="579"/>
      <c r="K91" s="579"/>
      <c r="L91" s="579"/>
      <c r="M91" s="579"/>
      <c r="N91" s="579"/>
      <c r="O91" s="579"/>
      <c r="P91" s="579"/>
      <c r="Q91" s="579"/>
    </row>
    <row r="92" spans="2:17" ht="18.75">
      <c r="B92" s="579"/>
      <c r="C92" s="942" t="s">
        <v>171</v>
      </c>
      <c r="D92" s="942"/>
      <c r="E92" s="582"/>
      <c r="F92" s="942" t="s">
        <v>249</v>
      </c>
      <c r="G92" s="942"/>
      <c r="H92" s="579"/>
      <c r="I92" s="942" t="s">
        <v>250</v>
      </c>
      <c r="J92" s="942"/>
      <c r="K92" s="582"/>
      <c r="L92" s="943" t="s">
        <v>228</v>
      </c>
      <c r="M92" s="944"/>
      <c r="N92" s="582"/>
      <c r="O92" s="943" t="s">
        <v>251</v>
      </c>
      <c r="P92" s="944"/>
      <c r="Q92" s="579"/>
    </row>
    <row r="93" spans="2:17">
      <c r="B93" s="579"/>
      <c r="C93" s="583" t="s">
        <v>237</v>
      </c>
      <c r="D93" s="583" t="s">
        <v>40</v>
      </c>
      <c r="E93" s="584"/>
      <c r="F93" s="583" t="s">
        <v>237</v>
      </c>
      <c r="G93" s="583" t="s">
        <v>40</v>
      </c>
      <c r="H93" s="579"/>
      <c r="I93" s="583" t="s">
        <v>237</v>
      </c>
      <c r="J93" s="583" t="s">
        <v>40</v>
      </c>
      <c r="K93" s="584"/>
      <c r="L93" s="583" t="s">
        <v>237</v>
      </c>
      <c r="M93" s="583" t="s">
        <v>40</v>
      </c>
      <c r="N93" s="584"/>
      <c r="O93" s="583" t="s">
        <v>237</v>
      </c>
      <c r="P93" s="583" t="s">
        <v>40</v>
      </c>
      <c r="Q93" s="579"/>
    </row>
    <row r="94" spans="2:17">
      <c r="B94" s="579"/>
      <c r="C94" s="585">
        <v>0</v>
      </c>
      <c r="D94" s="585">
        <f>IF(C94&lt;='B1b '!$G$35,'B1b '!$H$35,IF(AND(C94&lt;='B1b '!$G$34,C94&gt;'B1b '!$G$35),0+(('B1b '!$H$35-'B1b '!$H$34)/('B1b '!$G$35-'B1b '!$G$34))*(C94-'B1b '!$G$34),0))</f>
        <v>40</v>
      </c>
      <c r="E94" s="649"/>
      <c r="F94" s="585">
        <v>0</v>
      </c>
      <c r="G94" s="585">
        <f>IF(F94&lt;='B1b '!$G$37,'B1b '!$H$37,IF(AND(F94&lt;='B1b '!$G$36,F94&gt;'B1b '!$G$37),0+(('B1b '!$H$37-'B1b '!$H$36)/('B1b '!$G$37-'B1b '!$G$36))*(F94-'B1b '!$G$36),0))</f>
        <v>50</v>
      </c>
      <c r="H94" s="581"/>
      <c r="I94" s="585">
        <v>0</v>
      </c>
      <c r="J94" s="585">
        <f>IF(I94&lt;='B1b '!$G$39,'B1b '!$H$39,IF(AND(I94&lt;='B1b '!$G$38,I94&gt;'B1b '!$G$39),0+(('B1b '!$H$39-'B1b '!$H$38)/('B1b '!$G$39-'B1b '!$G$38))*(I94-'B1b '!$G$38),0))</f>
        <v>45</v>
      </c>
      <c r="K94" s="649"/>
      <c r="L94" s="585">
        <v>0</v>
      </c>
      <c r="M94" s="585">
        <f>IF(L94&lt;='B1b '!$G$41,'B1b '!$H$41,IF(AND(L94&lt;='B1b '!$G$40,L94&gt;'B1b '!$G$41),0+(('B1b '!$H$41-'B1b '!$H$40)/('B1b '!$G$41-'B1b '!$G$40))*(L94-'B1b '!$G$40),0))</f>
        <v>120</v>
      </c>
      <c r="N94" s="649"/>
      <c r="O94" s="585">
        <v>0</v>
      </c>
      <c r="P94" s="585">
        <f>IF(O94&lt;='B1b '!$G$43,'B1b '!$H$43,IF(AND(O94&lt;='B1b '!$G$42,O94&gt;'B1b '!$G$43),0+(('B1b '!$H$43-'B1b '!$H$42)/('B1b '!$G$43-'B1b '!$G$42))*(O94-'B1b '!$G$42),0))</f>
        <v>135</v>
      </c>
      <c r="Q94" s="579"/>
    </row>
    <row r="95" spans="2:17">
      <c r="B95" s="579"/>
      <c r="C95" s="585">
        <v>1</v>
      </c>
      <c r="D95" s="585">
        <f>IF(C95&lt;='B1b '!$G$35,'B1b '!$H$35,IF(AND(C95&lt;='B1b '!$G$34,C95&gt;'B1b '!$G$35),0+(('B1b '!$H$35-'B1b '!$H$34)/('B1b '!$G$35-'B1b '!$G$34))*(C95-'B1b '!$G$34),0))</f>
        <v>40</v>
      </c>
      <c r="E95" s="649"/>
      <c r="F95" s="585">
        <v>1</v>
      </c>
      <c r="G95" s="585">
        <f>IF(F95&lt;='B1b '!$G$37,'B1b '!$H$37,IF(AND(F95&lt;='B1b '!$G$36,F95&gt;'B1b '!$G$37),0+(('B1b '!$H$37-'B1b '!$H$36)/('B1b '!$G$37-'B1b '!$G$36))*(F95-'B1b '!$G$36),0))</f>
        <v>50</v>
      </c>
      <c r="H95" s="581"/>
      <c r="I95" s="585">
        <v>1</v>
      </c>
      <c r="J95" s="585">
        <f>IF(I95&lt;='B1b '!$G$39,'B1b '!$H$39,IF(AND(I95&lt;='B1b '!$G$38,I95&gt;'B1b '!$G$39),0+(('B1b '!$H$39-'B1b '!$H$38)/('B1b '!$G$39-'B1b '!$G$38))*(I95-'B1b '!$G$38),0))</f>
        <v>45</v>
      </c>
      <c r="K95" s="649"/>
      <c r="L95" s="585">
        <v>1</v>
      </c>
      <c r="M95" s="585">
        <f>IF(L95&lt;='B1b '!$G$41,'B1b '!$H$41,IF(AND(L95&lt;='B1b '!$G$40,L95&gt;'B1b '!$G$41),0+(('B1b '!$H$41-'B1b '!$H$40)/('B1b '!$G$41-'B1b '!$G$40))*(L95-'B1b '!$G$40),0))</f>
        <v>120</v>
      </c>
      <c r="N95" s="649"/>
      <c r="O95" s="585">
        <v>1</v>
      </c>
      <c r="P95" s="585">
        <f>IF(O95&lt;='B1b '!$G$43,'B1b '!$H$43,IF(AND(O95&lt;='B1b '!$G$42,O95&gt;'B1b '!$G$43),0+(('B1b '!$H$43-'B1b '!$H$42)/('B1b '!$G$43-'B1b '!$G$42))*(O95-'B1b '!$G$42),0))</f>
        <v>127.5</v>
      </c>
      <c r="Q95" s="579"/>
    </row>
    <row r="96" spans="2:17">
      <c r="B96" s="579"/>
      <c r="C96" s="585">
        <v>2</v>
      </c>
      <c r="D96" s="585">
        <f>IF(C96&lt;='B1b '!$G$35,'B1b '!$H$35,IF(AND(C96&lt;='B1b '!$G$34,C96&gt;'B1b '!$G$35),0+(('B1b '!$H$35-'B1b '!$H$34)/('B1b '!$G$35-'B1b '!$G$34))*(C96-'B1b '!$G$34),0))</f>
        <v>40</v>
      </c>
      <c r="E96" s="649"/>
      <c r="F96" s="585">
        <v>2</v>
      </c>
      <c r="G96" s="585">
        <f>IF(F96&lt;='B1b '!$G$37,'B1b '!$H$37,IF(AND(F96&lt;='B1b '!$G$36,F96&gt;'B1b '!$G$37),0+(('B1b '!$H$37-'B1b '!$H$36)/('B1b '!$G$37-'B1b '!$G$36))*(F96-'B1b '!$G$36),0))</f>
        <v>50</v>
      </c>
      <c r="H96" s="581"/>
      <c r="I96" s="585">
        <v>2</v>
      </c>
      <c r="J96" s="585">
        <f>IF(I96&lt;='B1b '!$G$39,'B1b '!$H$39,IF(AND(I96&lt;='B1b '!$G$38,I96&gt;'B1b '!$G$39),0+(('B1b '!$H$39-'B1b '!$H$38)/('B1b '!$G$39-'B1b '!$G$38))*(I96-'B1b '!$G$38),0))</f>
        <v>45</v>
      </c>
      <c r="K96" s="649"/>
      <c r="L96" s="585">
        <v>2</v>
      </c>
      <c r="M96" s="585">
        <f>IF(L96&lt;='B1b '!$G$41,'B1b '!$H$41,IF(AND(L96&lt;='B1b '!$G$40,L96&gt;'B1b '!$G$41),0+(('B1b '!$H$41-'B1b '!$H$40)/('B1b '!$G$41-'B1b '!$G$40))*(L96-'B1b '!$G$40),0))</f>
        <v>120</v>
      </c>
      <c r="N96" s="649"/>
      <c r="O96" s="585">
        <v>2</v>
      </c>
      <c r="P96" s="585">
        <f>IF(O96&lt;='B1b '!$G$43,'B1b '!$H$43,IF(AND(O96&lt;='B1b '!$G$42,O96&gt;'B1b '!$G$43),0+(('B1b '!$H$43-'B1b '!$H$42)/('B1b '!$G$43-'B1b '!$G$42))*(O96-'B1b '!$G$42),0))</f>
        <v>120</v>
      </c>
      <c r="Q96" s="579"/>
    </row>
    <row r="97" spans="2:17">
      <c r="B97" s="579"/>
      <c r="C97" s="585">
        <v>3</v>
      </c>
      <c r="D97" s="585">
        <f>IF(C97&lt;='B1b '!$G$35,'B1b '!$H$35,IF(AND(C97&lt;='B1b '!$G$34,C97&gt;'B1b '!$G$35),0+(('B1b '!$H$35-'B1b '!$H$34)/('B1b '!$G$35-'B1b '!$G$34))*(C97-'B1b '!$G$34),0))</f>
        <v>40</v>
      </c>
      <c r="E97" s="649"/>
      <c r="F97" s="585">
        <v>3</v>
      </c>
      <c r="G97" s="585">
        <f>IF(F97&lt;='B1b '!$G$37,'B1b '!$H$37,IF(AND(F97&lt;='B1b '!$G$36,F97&gt;'B1b '!$G$37),0+(('B1b '!$H$37-'B1b '!$H$36)/('B1b '!$G$37-'B1b '!$G$36))*(F97-'B1b '!$G$36),0))</f>
        <v>50</v>
      </c>
      <c r="H97" s="581"/>
      <c r="I97" s="585">
        <v>3</v>
      </c>
      <c r="J97" s="585">
        <f>IF(I97&lt;='B1b '!$G$39,'B1b '!$H$39,IF(AND(I97&lt;='B1b '!$G$38,I97&gt;'B1b '!$G$39),0+(('B1b '!$H$39-'B1b '!$H$38)/('B1b '!$G$39-'B1b '!$G$38))*(I97-'B1b '!$G$38),0))</f>
        <v>45</v>
      </c>
      <c r="K97" s="649"/>
      <c r="L97" s="585">
        <v>3</v>
      </c>
      <c r="M97" s="585">
        <f>IF(L97&lt;='B1b '!$G$41,'B1b '!$H$41,IF(AND(L97&lt;='B1b '!$G$40,L97&gt;'B1b '!$G$41),0+(('B1b '!$H$41-'B1b '!$H$40)/('B1b '!$G$41-'B1b '!$G$40))*(L97-'B1b '!$G$40),0))</f>
        <v>120</v>
      </c>
      <c r="N97" s="649"/>
      <c r="O97" s="585">
        <v>3</v>
      </c>
      <c r="P97" s="585">
        <f>IF(O97&lt;='B1b '!$G$43,'B1b '!$H$43,IF(AND(O97&lt;='B1b '!$G$42,O97&gt;'B1b '!$G$43),0+(('B1b '!$H$43-'B1b '!$H$42)/('B1b '!$G$43-'B1b '!$G$42))*(O97-'B1b '!$G$42),0))</f>
        <v>112.5</v>
      </c>
      <c r="Q97" s="579"/>
    </row>
    <row r="98" spans="2:17">
      <c r="B98" s="579"/>
      <c r="C98" s="585">
        <v>4</v>
      </c>
      <c r="D98" s="585">
        <f>IF(C98&lt;='B1b '!$G$35,'B1b '!$H$35,IF(AND(C98&lt;='B1b '!$G$34,C98&gt;'B1b '!$G$35),0+(('B1b '!$H$35-'B1b '!$H$34)/('B1b '!$G$35-'B1b '!$G$34))*(C98-'B1b '!$G$34),0))</f>
        <v>40</v>
      </c>
      <c r="E98" s="649"/>
      <c r="F98" s="585">
        <v>4</v>
      </c>
      <c r="G98" s="585">
        <f>IF(F98&lt;='B1b '!$G$37,'B1b '!$H$37,IF(AND(F98&lt;='B1b '!$G$36,F98&gt;'B1b '!$G$37),0+(('B1b '!$H$37-'B1b '!$H$36)/('B1b '!$G$37-'B1b '!$G$36))*(F98-'B1b '!$G$36),0))</f>
        <v>50</v>
      </c>
      <c r="H98" s="581"/>
      <c r="I98" s="585">
        <v>4</v>
      </c>
      <c r="J98" s="585">
        <f>IF(I98&lt;='B1b '!$G$39,'B1b '!$H$39,IF(AND(I98&lt;='B1b '!$G$38,I98&gt;'B1b '!$G$39),0+(('B1b '!$H$39-'B1b '!$H$38)/('B1b '!$G$39-'B1b '!$G$38))*(I98-'B1b '!$G$38),0))</f>
        <v>45</v>
      </c>
      <c r="K98" s="649"/>
      <c r="L98" s="585">
        <v>4</v>
      </c>
      <c r="M98" s="585">
        <f>IF(L98&lt;='B1b '!$G$41,'B1b '!$H$41,IF(AND(L98&lt;='B1b '!$G$40,L98&gt;'B1b '!$G$41),0+(('B1b '!$H$41-'B1b '!$H$40)/('B1b '!$G$41-'B1b '!$G$40))*(L98-'B1b '!$G$40),0))</f>
        <v>120</v>
      </c>
      <c r="N98" s="649"/>
      <c r="O98" s="585">
        <v>4</v>
      </c>
      <c r="P98" s="585">
        <f>IF(O98&lt;='B1b '!$G$43,'B1b '!$H$43,IF(AND(O98&lt;='B1b '!$G$42,O98&gt;'B1b '!$G$43),0+(('B1b '!$H$43-'B1b '!$H$42)/('B1b '!$G$43-'B1b '!$G$42))*(O98-'B1b '!$G$42),0))</f>
        <v>105</v>
      </c>
      <c r="Q98" s="579"/>
    </row>
    <row r="99" spans="2:17">
      <c r="B99" s="579"/>
      <c r="C99" s="585">
        <v>5</v>
      </c>
      <c r="D99" s="585">
        <f>IF(C99&lt;='B1b '!$G$35,'B1b '!$H$35,IF(AND(C99&lt;='B1b '!$G$34,C99&gt;'B1b '!$G$35),0+(('B1b '!$H$35-'B1b '!$H$34)/('B1b '!$G$35-'B1b '!$G$34))*(C99-'B1b '!$G$34),0))</f>
        <v>40</v>
      </c>
      <c r="E99" s="649"/>
      <c r="F99" s="585">
        <v>5</v>
      </c>
      <c r="G99" s="585">
        <f>IF(F99&lt;='B1b '!$G$37,'B1b '!$H$37,IF(AND(F99&lt;='B1b '!$G$36,F99&gt;'B1b '!$G$37),0+(('B1b '!$H$37-'B1b '!$H$36)/('B1b '!$G$37-'B1b '!$G$36))*(F99-'B1b '!$G$36),0))</f>
        <v>50</v>
      </c>
      <c r="H99" s="581"/>
      <c r="I99" s="585">
        <v>5</v>
      </c>
      <c r="J99" s="585">
        <f>IF(I99&lt;='B1b '!$G$39,'B1b '!$H$39,IF(AND(I99&lt;='B1b '!$G$38,I99&gt;'B1b '!$G$39),0+(('B1b '!$H$39-'B1b '!$H$38)/('B1b '!$G$39-'B1b '!$G$38))*(I99-'B1b '!$G$38),0))</f>
        <v>45</v>
      </c>
      <c r="K99" s="649"/>
      <c r="L99" s="585">
        <v>5</v>
      </c>
      <c r="M99" s="585">
        <f>IF(L99&lt;='B1b '!$G$41,'B1b '!$H$41,IF(AND(L99&lt;='B1b '!$G$40,L99&gt;'B1b '!$G$41),0+(('B1b '!$H$41-'B1b '!$H$40)/('B1b '!$G$41-'B1b '!$G$40))*(L99-'B1b '!$G$40),0))</f>
        <v>120</v>
      </c>
      <c r="N99" s="649"/>
      <c r="O99" s="585">
        <v>5</v>
      </c>
      <c r="P99" s="585">
        <f>IF(O99&lt;='B1b '!$G$43,'B1b '!$H$43,IF(AND(O99&lt;='B1b '!$G$42,O99&gt;'B1b '!$G$43),0+(('B1b '!$H$43-'B1b '!$H$42)/('B1b '!$G$43-'B1b '!$G$42))*(O99-'B1b '!$G$42),0))</f>
        <v>97.5</v>
      </c>
      <c r="Q99" s="579"/>
    </row>
    <row r="100" spans="2:17">
      <c r="B100" s="579"/>
      <c r="C100" s="585">
        <v>6</v>
      </c>
      <c r="D100" s="585">
        <f>IF(C100&lt;='B1b '!$G$35,'B1b '!$H$35,IF(AND(C100&lt;='B1b '!$G$34,C100&gt;'B1b '!$G$35),0+(('B1b '!$H$35-'B1b '!$H$34)/('B1b '!$G$35-'B1b '!$G$34))*(C100-'B1b '!$G$34),0))</f>
        <v>40</v>
      </c>
      <c r="E100" s="649"/>
      <c r="F100" s="585">
        <v>6</v>
      </c>
      <c r="G100" s="585">
        <f>IF(F100&lt;='B1b '!$G$37,'B1b '!$H$37,IF(AND(F100&lt;='B1b '!$G$36,F100&gt;'B1b '!$G$37),0+(('B1b '!$H$37-'B1b '!$H$36)/('B1b '!$G$37-'B1b '!$G$36))*(F100-'B1b '!$G$36),0))</f>
        <v>50</v>
      </c>
      <c r="H100" s="581"/>
      <c r="I100" s="585">
        <v>6</v>
      </c>
      <c r="J100" s="585">
        <f>IF(I100&lt;='B1b '!$G$39,'B1b '!$H$39,IF(AND(I100&lt;='B1b '!$G$38,I100&gt;'B1b '!$G$39),0+(('B1b '!$H$39-'B1b '!$H$38)/('B1b '!$G$39-'B1b '!$G$38))*(I100-'B1b '!$G$38),0))</f>
        <v>45</v>
      </c>
      <c r="K100" s="649"/>
      <c r="L100" s="585">
        <v>6</v>
      </c>
      <c r="M100" s="585">
        <f>IF(L100&lt;='B1b '!$G$41,'B1b '!$H$41,IF(AND(L100&lt;='B1b '!$G$40,L100&gt;'B1b '!$G$41),0+(('B1b '!$H$41-'B1b '!$H$40)/('B1b '!$G$41-'B1b '!$G$40))*(L100-'B1b '!$G$40),0))</f>
        <v>120</v>
      </c>
      <c r="N100" s="649"/>
      <c r="O100" s="585">
        <v>6</v>
      </c>
      <c r="P100" s="585">
        <f>IF(O100&lt;='B1b '!$G$43,'B1b '!$H$43,IF(AND(O100&lt;='B1b '!$G$42,O100&gt;'B1b '!$G$43),0+(('B1b '!$H$43-'B1b '!$H$42)/('B1b '!$G$43-'B1b '!$G$42))*(O100-'B1b '!$G$42),0))</f>
        <v>90</v>
      </c>
      <c r="Q100" s="579"/>
    </row>
    <row r="101" spans="2:17">
      <c r="B101" s="579"/>
      <c r="C101" s="585">
        <v>7</v>
      </c>
      <c r="D101" s="585">
        <f>IF(C101&lt;='B1b '!$G$35,'B1b '!$H$35,IF(AND(C101&lt;='B1b '!$G$34,C101&gt;'B1b '!$G$35),0+(('B1b '!$H$35-'B1b '!$H$34)/('B1b '!$G$35-'B1b '!$G$34))*(C101-'B1b '!$G$34),0))</f>
        <v>40</v>
      </c>
      <c r="E101" s="649"/>
      <c r="F101" s="585">
        <v>7</v>
      </c>
      <c r="G101" s="585">
        <f>IF(F101&lt;='B1b '!$G$37,'B1b '!$H$37,IF(AND(F101&lt;='B1b '!$G$36,F101&gt;'B1b '!$G$37),0+(('B1b '!$H$37-'B1b '!$H$36)/('B1b '!$G$37-'B1b '!$G$36))*(F101-'B1b '!$G$36),0))</f>
        <v>50</v>
      </c>
      <c r="H101" s="581"/>
      <c r="I101" s="585">
        <v>7</v>
      </c>
      <c r="J101" s="585">
        <f>IF(I101&lt;='B1b '!$G$39,'B1b '!$H$39,IF(AND(I101&lt;='B1b '!$G$38,I101&gt;'B1b '!$G$39),0+(('B1b '!$H$39-'B1b '!$H$38)/('B1b '!$G$39-'B1b '!$G$38))*(I101-'B1b '!$G$38),0))</f>
        <v>45</v>
      </c>
      <c r="K101" s="649"/>
      <c r="L101" s="585">
        <v>7</v>
      </c>
      <c r="M101" s="585">
        <f>IF(L101&lt;='B1b '!$G$41,'B1b '!$H$41,IF(AND(L101&lt;='B1b '!$G$40,L101&gt;'B1b '!$G$41),0+(('B1b '!$H$41-'B1b '!$H$40)/('B1b '!$G$41-'B1b '!$G$40))*(L101-'B1b '!$G$40),0))</f>
        <v>120</v>
      </c>
      <c r="N101" s="649"/>
      <c r="O101" s="585">
        <v>7</v>
      </c>
      <c r="P101" s="585">
        <f>IF(O101&lt;='B1b '!$G$43,'B1b '!$H$43,IF(AND(O101&lt;='B1b '!$G$42,O101&gt;'B1b '!$G$43),0+(('B1b '!$H$43-'B1b '!$H$42)/('B1b '!$G$43-'B1b '!$G$42))*(O101-'B1b '!$G$42),0))</f>
        <v>82.5</v>
      </c>
      <c r="Q101" s="579"/>
    </row>
    <row r="102" spans="2:17">
      <c r="B102" s="579"/>
      <c r="C102" s="585">
        <v>8</v>
      </c>
      <c r="D102" s="585">
        <f>IF(C102&lt;='B1b '!$G$35,'B1b '!$H$35,IF(AND(C102&lt;='B1b '!$G$34,C102&gt;'B1b '!$G$35),0+(('B1b '!$H$35-'B1b '!$H$34)/('B1b '!$G$35-'B1b '!$G$34))*(C102-'B1b '!$G$34),0))</f>
        <v>40</v>
      </c>
      <c r="E102" s="649"/>
      <c r="F102" s="585">
        <v>8</v>
      </c>
      <c r="G102" s="585">
        <f>IF(F102&lt;='B1b '!$G$37,'B1b '!$H$37,IF(AND(F102&lt;='B1b '!$G$36,F102&gt;'B1b '!$G$37),0+(('B1b '!$H$37-'B1b '!$H$36)/('B1b '!$G$37-'B1b '!$G$36))*(F102-'B1b '!$G$36),0))</f>
        <v>50</v>
      </c>
      <c r="H102" s="581"/>
      <c r="I102" s="585">
        <v>8</v>
      </c>
      <c r="J102" s="585">
        <f>IF(I102&lt;='B1b '!$G$39,'B1b '!$H$39,IF(AND(I102&lt;='B1b '!$G$38,I102&gt;'B1b '!$G$39),0+(('B1b '!$H$39-'B1b '!$H$38)/('B1b '!$G$39-'B1b '!$G$38))*(I102-'B1b '!$G$38),0))</f>
        <v>45</v>
      </c>
      <c r="K102" s="649"/>
      <c r="L102" s="585">
        <v>8</v>
      </c>
      <c r="M102" s="585">
        <f>IF(L102&lt;='B1b '!$G$41,'B1b '!$H$41,IF(AND(L102&lt;='B1b '!$G$40,L102&gt;'B1b '!$G$41),0+(('B1b '!$H$41-'B1b '!$H$40)/('B1b '!$G$41-'B1b '!$G$40))*(L102-'B1b '!$G$40),0))</f>
        <v>120</v>
      </c>
      <c r="N102" s="649"/>
      <c r="O102" s="585">
        <v>8</v>
      </c>
      <c r="P102" s="585">
        <f>IF(O102&lt;='B1b '!$G$43,'B1b '!$H$43,IF(AND(O102&lt;='B1b '!$G$42,O102&gt;'B1b '!$G$43),0+(('B1b '!$H$43-'B1b '!$H$42)/('B1b '!$G$43-'B1b '!$G$42))*(O102-'B1b '!$G$42),0))</f>
        <v>75</v>
      </c>
      <c r="Q102" s="579"/>
    </row>
    <row r="103" spans="2:17">
      <c r="B103" s="579"/>
      <c r="C103" s="585">
        <v>9</v>
      </c>
      <c r="D103" s="585">
        <f>IF(C103&lt;='B1b '!$G$35,'B1b '!$H$35,IF(AND(C103&lt;='B1b '!$G$34,C103&gt;'B1b '!$G$35),0+(('B1b '!$H$35-'B1b '!$H$34)/('B1b '!$G$35-'B1b '!$G$34))*(C103-'B1b '!$G$34),0))</f>
        <v>40</v>
      </c>
      <c r="E103" s="649"/>
      <c r="F103" s="585">
        <v>9</v>
      </c>
      <c r="G103" s="585">
        <f>IF(F103&lt;='B1b '!$G$37,'B1b '!$H$37,IF(AND(F103&lt;='B1b '!$G$36,F103&gt;'B1b '!$G$37),0+(('B1b '!$H$37-'B1b '!$H$36)/('B1b '!$G$37-'B1b '!$G$36))*(F103-'B1b '!$G$36),0))</f>
        <v>50</v>
      </c>
      <c r="H103" s="581"/>
      <c r="I103" s="585">
        <v>9</v>
      </c>
      <c r="J103" s="585">
        <f>IF(I103&lt;='B1b '!$G$39,'B1b '!$H$39,IF(AND(I103&lt;='B1b '!$G$38,I103&gt;'B1b '!$G$39),0+(('B1b '!$H$39-'B1b '!$H$38)/('B1b '!$G$39-'B1b '!$G$38))*(I103-'B1b '!$G$38),0))</f>
        <v>45</v>
      </c>
      <c r="K103" s="649"/>
      <c r="L103" s="585">
        <v>9</v>
      </c>
      <c r="M103" s="585">
        <f>IF(L103&lt;='B1b '!$G$41,'B1b '!$H$41,IF(AND(L103&lt;='B1b '!$G$40,L103&gt;'B1b '!$G$41),0+(('B1b '!$H$41-'B1b '!$H$40)/('B1b '!$G$41-'B1b '!$G$40))*(L103-'B1b '!$G$40),0))</f>
        <v>120</v>
      </c>
      <c r="N103" s="649"/>
      <c r="O103" s="585">
        <v>9</v>
      </c>
      <c r="P103" s="585">
        <f>IF(O103&lt;='B1b '!$G$43,'B1b '!$H$43,IF(AND(O103&lt;='B1b '!$G$42,O103&gt;'B1b '!$G$43),0+(('B1b '!$H$43-'B1b '!$H$42)/('B1b '!$G$43-'B1b '!$G$42))*(O103-'B1b '!$G$42),0))</f>
        <v>67.5</v>
      </c>
      <c r="Q103" s="579"/>
    </row>
    <row r="104" spans="2:17">
      <c r="B104" s="579"/>
      <c r="C104" s="585">
        <v>10</v>
      </c>
      <c r="D104" s="585">
        <f>IF(C104&lt;='B1b '!$G$35,'B1b '!$H$35,IF(AND(C104&lt;='B1b '!$G$34,C104&gt;'B1b '!$G$35),0+(('B1b '!$H$35-'B1b '!$H$34)/('B1b '!$G$35-'B1b '!$G$34))*(C104-'B1b '!$G$34),0))</f>
        <v>40</v>
      </c>
      <c r="E104" s="649"/>
      <c r="F104" s="585">
        <v>10</v>
      </c>
      <c r="G104" s="585">
        <f>IF(F104&lt;='B1b '!$G$37,'B1b '!$H$37,IF(AND(F104&lt;='B1b '!$G$36,F104&gt;'B1b '!$G$37),0+(('B1b '!$H$37-'B1b '!$H$36)/('B1b '!$G$37-'B1b '!$G$36))*(F104-'B1b '!$G$36),0))</f>
        <v>50</v>
      </c>
      <c r="H104" s="581"/>
      <c r="I104" s="585">
        <v>10</v>
      </c>
      <c r="J104" s="585">
        <f>IF(I104&lt;='B1b '!$G$39,'B1b '!$H$39,IF(AND(I104&lt;='B1b '!$G$38,I104&gt;'B1b '!$G$39),0+(('B1b '!$H$39-'B1b '!$H$38)/('B1b '!$G$39-'B1b '!$G$38))*(I104-'B1b '!$G$38),0))</f>
        <v>45</v>
      </c>
      <c r="K104" s="649"/>
      <c r="L104" s="585">
        <v>10</v>
      </c>
      <c r="M104" s="585">
        <f>IF(L104&lt;='B1b '!$G$41,'B1b '!$H$41,IF(AND(L104&lt;='B1b '!$G$40,L104&gt;'B1b '!$G$41),0+(('B1b '!$H$41-'B1b '!$H$40)/('B1b '!$G$41-'B1b '!$G$40))*(L104-'B1b '!$G$40),0))</f>
        <v>120</v>
      </c>
      <c r="N104" s="649"/>
      <c r="O104" s="585">
        <v>10</v>
      </c>
      <c r="P104" s="585">
        <f>IF(O104&lt;='B1b '!$G$43,'B1b '!$H$43,IF(AND(O104&lt;='B1b '!$G$42,O104&gt;'B1b '!$G$43),0+(('B1b '!$H$43-'B1b '!$H$42)/('B1b '!$G$43-'B1b '!$G$42))*(O104-'B1b '!$G$42),0))</f>
        <v>60</v>
      </c>
      <c r="Q104" s="579"/>
    </row>
    <row r="105" spans="2:17">
      <c r="B105" s="579"/>
      <c r="C105" s="585">
        <v>11</v>
      </c>
      <c r="D105" s="585">
        <f>IF(C105&lt;='B1b '!$G$35,'B1b '!$H$35,IF(AND(C105&lt;='B1b '!$G$34,C105&gt;'B1b '!$G$35),0+(('B1b '!$H$35-'B1b '!$H$34)/('B1b '!$G$35-'B1b '!$G$34))*(C105-'B1b '!$G$34),0))</f>
        <v>40</v>
      </c>
      <c r="E105" s="649"/>
      <c r="F105" s="585">
        <v>11</v>
      </c>
      <c r="G105" s="585">
        <f>IF(F105&lt;='B1b '!$G$37,'B1b '!$H$37,IF(AND(F105&lt;='B1b '!$G$36,F105&gt;'B1b '!$G$37),0+(('B1b '!$H$37-'B1b '!$H$36)/('B1b '!$G$37-'B1b '!$G$36))*(F105-'B1b '!$G$36),0))</f>
        <v>50</v>
      </c>
      <c r="H105" s="581"/>
      <c r="I105" s="585">
        <v>11</v>
      </c>
      <c r="J105" s="585">
        <f>IF(I105&lt;='B1b '!$G$39,'B1b '!$H$39,IF(AND(I105&lt;='B1b '!$G$38,I105&gt;'B1b '!$G$39),0+(('B1b '!$H$39-'B1b '!$H$38)/('B1b '!$G$39-'B1b '!$G$38))*(I105-'B1b '!$G$38),0))</f>
        <v>45</v>
      </c>
      <c r="K105" s="649"/>
      <c r="L105" s="585">
        <v>11</v>
      </c>
      <c r="M105" s="585">
        <f>IF(L105&lt;='B1b '!$G$41,'B1b '!$H$41,IF(AND(L105&lt;='B1b '!$G$40,L105&gt;'B1b '!$G$41),0+(('B1b '!$H$41-'B1b '!$H$40)/('B1b '!$G$41-'B1b '!$G$40))*(L105-'B1b '!$G$40),0))</f>
        <v>120</v>
      </c>
      <c r="N105" s="649"/>
      <c r="O105" s="585">
        <v>11</v>
      </c>
      <c r="P105" s="585">
        <f>IF(O105&lt;='B1b '!$G$43,'B1b '!$H$43,IF(AND(O105&lt;='B1b '!$G$42,O105&gt;'B1b '!$G$43),0+(('B1b '!$H$43-'B1b '!$H$42)/('B1b '!$G$43-'B1b '!$G$42))*(O105-'B1b '!$G$42),0))</f>
        <v>52.5</v>
      </c>
      <c r="Q105" s="579"/>
    </row>
    <row r="106" spans="2:17">
      <c r="B106" s="579"/>
      <c r="C106" s="585">
        <v>12</v>
      </c>
      <c r="D106" s="585">
        <f>IF(C106&lt;='B1b '!$G$35,'B1b '!$H$35,IF(AND(C106&lt;='B1b '!$G$34,C106&gt;'B1b '!$G$35),0+(('B1b '!$H$35-'B1b '!$H$34)/('B1b '!$G$35-'B1b '!$G$34))*(C106-'B1b '!$G$34),0))</f>
        <v>40</v>
      </c>
      <c r="E106" s="649"/>
      <c r="F106" s="585">
        <v>12</v>
      </c>
      <c r="G106" s="585">
        <f>IF(F106&lt;='B1b '!$G$37,'B1b '!$H$37,IF(AND(F106&lt;='B1b '!$G$36,F106&gt;'B1b '!$G$37),0+(('B1b '!$H$37-'B1b '!$H$36)/('B1b '!$G$37-'B1b '!$G$36))*(F106-'B1b '!$G$36),0))</f>
        <v>50</v>
      </c>
      <c r="H106" s="581"/>
      <c r="I106" s="585">
        <v>12</v>
      </c>
      <c r="J106" s="585">
        <f>IF(I106&lt;='B1b '!$G$39,'B1b '!$H$39,IF(AND(I106&lt;='B1b '!$G$38,I106&gt;'B1b '!$G$39),0+(('B1b '!$H$39-'B1b '!$H$38)/('B1b '!$G$39-'B1b '!$G$38))*(I106-'B1b '!$G$38),0))</f>
        <v>45</v>
      </c>
      <c r="K106" s="649"/>
      <c r="L106" s="585">
        <v>12</v>
      </c>
      <c r="M106" s="585">
        <f>IF(L106&lt;='B1b '!$G$41,'B1b '!$H$41,IF(AND(L106&lt;='B1b '!$G$40,L106&gt;'B1b '!$G$41),0+(('B1b '!$H$41-'B1b '!$H$40)/('B1b '!$G$41-'B1b '!$G$40))*(L106-'B1b '!$G$40),0))</f>
        <v>120</v>
      </c>
      <c r="N106" s="649"/>
      <c r="O106" s="585">
        <v>12</v>
      </c>
      <c r="P106" s="585">
        <f>IF(O106&lt;='B1b '!$G$43,'B1b '!$H$43,IF(AND(O106&lt;='B1b '!$G$42,O106&gt;'B1b '!$G$43),0+(('B1b '!$H$43-'B1b '!$H$42)/('B1b '!$G$43-'B1b '!$G$42))*(O106-'B1b '!$G$42),0))</f>
        <v>45</v>
      </c>
      <c r="Q106" s="579"/>
    </row>
    <row r="107" spans="2:17">
      <c r="B107" s="579"/>
      <c r="C107" s="585">
        <v>13</v>
      </c>
      <c r="D107" s="585">
        <f>IF(C107&lt;='B1b '!$G$35,'B1b '!$H$35,IF(AND(C107&lt;='B1b '!$G$34,C107&gt;'B1b '!$G$35),0+(('B1b '!$H$35-'B1b '!$H$34)/('B1b '!$G$35-'B1b '!$G$34))*(C107-'B1b '!$G$34),0))</f>
        <v>40</v>
      </c>
      <c r="E107" s="649"/>
      <c r="F107" s="585">
        <v>13</v>
      </c>
      <c r="G107" s="585">
        <f>IF(F107&lt;='B1b '!$G$37,'B1b '!$H$37,IF(AND(F107&lt;='B1b '!$G$36,F107&gt;'B1b '!$G$37),0+(('B1b '!$H$37-'B1b '!$H$36)/('B1b '!$G$37-'B1b '!$G$36))*(F107-'B1b '!$G$36),0))</f>
        <v>50</v>
      </c>
      <c r="H107" s="581"/>
      <c r="I107" s="585">
        <v>13</v>
      </c>
      <c r="J107" s="585">
        <f>IF(I107&lt;='B1b '!$G$39,'B1b '!$H$39,IF(AND(I107&lt;='B1b '!$G$38,I107&gt;'B1b '!$G$39),0+(('B1b '!$H$39-'B1b '!$H$38)/('B1b '!$G$39-'B1b '!$G$38))*(I107-'B1b '!$G$38),0))</f>
        <v>42.5</v>
      </c>
      <c r="K107" s="649"/>
      <c r="L107" s="585">
        <v>13</v>
      </c>
      <c r="M107" s="585">
        <f>IF(L107&lt;='B1b '!$G$41,'B1b '!$H$41,IF(AND(L107&lt;='B1b '!$G$40,L107&gt;'B1b '!$G$41),0+(('B1b '!$H$41-'B1b '!$H$40)/('B1b '!$G$41-'B1b '!$G$40))*(L107-'B1b '!$G$40),0))</f>
        <v>120</v>
      </c>
      <c r="N107" s="649"/>
      <c r="O107" s="585">
        <v>13</v>
      </c>
      <c r="P107" s="585">
        <f>IF(O107&lt;='B1b '!$G$43,'B1b '!$H$43,IF(AND(O107&lt;='B1b '!$G$42,O107&gt;'B1b '!$G$43),0+(('B1b '!$H$43-'B1b '!$H$42)/('B1b '!$G$43-'B1b '!$G$42))*(O107-'B1b '!$G$42),0))</f>
        <v>37.5</v>
      </c>
      <c r="Q107" s="579"/>
    </row>
    <row r="108" spans="2:17">
      <c r="B108" s="579"/>
      <c r="C108" s="585">
        <v>14</v>
      </c>
      <c r="D108" s="585">
        <f>IF(C108&lt;='B1b '!$G$35,'B1b '!$H$35,IF(AND(C108&lt;='B1b '!$G$34,C108&gt;'B1b '!$G$35),0+(('B1b '!$H$35-'B1b '!$H$34)/('B1b '!$G$35-'B1b '!$G$34))*(C108-'B1b '!$G$34),0))</f>
        <v>40</v>
      </c>
      <c r="E108" s="649"/>
      <c r="F108" s="585">
        <v>14</v>
      </c>
      <c r="G108" s="585">
        <f>IF(F108&lt;='B1b '!$G$37,'B1b '!$H$37,IF(AND(F108&lt;='B1b '!$G$36,F108&gt;'B1b '!$G$37),0+(('B1b '!$H$37-'B1b '!$H$36)/('B1b '!$G$37-'B1b '!$G$36))*(F108-'B1b '!$G$36),0))</f>
        <v>50</v>
      </c>
      <c r="H108" s="581"/>
      <c r="I108" s="585">
        <v>14</v>
      </c>
      <c r="J108" s="585">
        <f>IF(I108&lt;='B1b '!$G$39,'B1b '!$H$39,IF(AND(I108&lt;='B1b '!$G$38,I108&gt;'B1b '!$G$39),0+(('B1b '!$H$39-'B1b '!$H$38)/('B1b '!$G$39-'B1b '!$G$38))*(I108-'B1b '!$G$38),0))</f>
        <v>40</v>
      </c>
      <c r="K108" s="649"/>
      <c r="L108" s="585">
        <v>14</v>
      </c>
      <c r="M108" s="585">
        <f>IF(L108&lt;='B1b '!$G$41,'B1b '!$H$41,IF(AND(L108&lt;='B1b '!$G$40,L108&gt;'B1b '!$G$41),0+(('B1b '!$H$41-'B1b '!$H$40)/('B1b '!$G$41-'B1b '!$G$40))*(L108-'B1b '!$G$40),0))</f>
        <v>120</v>
      </c>
      <c r="N108" s="649"/>
      <c r="O108" s="585">
        <v>14</v>
      </c>
      <c r="P108" s="585">
        <f>IF(O108&lt;='B1b '!$G$43,'B1b '!$H$43,IF(AND(O108&lt;='B1b '!$G$42,O108&gt;'B1b '!$G$43),0+(('B1b '!$H$43-'B1b '!$H$42)/('B1b '!$G$43-'B1b '!$G$42))*(O108-'B1b '!$G$42),0))</f>
        <v>30</v>
      </c>
      <c r="Q108" s="579"/>
    </row>
    <row r="109" spans="2:17">
      <c r="B109" s="579"/>
      <c r="C109" s="585">
        <v>15</v>
      </c>
      <c r="D109" s="585">
        <f>IF(C109&lt;='B1b '!$G$35,'B1b '!$H$35,IF(AND(C109&lt;='B1b '!$G$34,C109&gt;'B1b '!$G$35),0+(('B1b '!$H$35-'B1b '!$H$34)/('B1b '!$G$35-'B1b '!$G$34))*(C109-'B1b '!$G$34),0))</f>
        <v>40</v>
      </c>
      <c r="E109" s="649"/>
      <c r="F109" s="585">
        <v>15</v>
      </c>
      <c r="G109" s="585">
        <f>IF(F109&lt;='B1b '!$G$37,'B1b '!$H$37,IF(AND(F109&lt;='B1b '!$G$36,F109&gt;'B1b '!$G$37),0+(('B1b '!$H$37-'B1b '!$H$36)/('B1b '!$G$37-'B1b '!$G$36))*(F109-'B1b '!$G$36),0))</f>
        <v>50</v>
      </c>
      <c r="H109" s="581"/>
      <c r="I109" s="585">
        <v>15</v>
      </c>
      <c r="J109" s="585">
        <f>IF(I109&lt;='B1b '!$G$39,'B1b '!$H$39,IF(AND(I109&lt;='B1b '!$G$38,I109&gt;'B1b '!$G$39),0+(('B1b '!$H$39-'B1b '!$H$38)/('B1b '!$G$39-'B1b '!$G$38))*(I109-'B1b '!$G$38),0))</f>
        <v>37.5</v>
      </c>
      <c r="K109" s="649"/>
      <c r="L109" s="585">
        <v>15</v>
      </c>
      <c r="M109" s="585">
        <f>IF(L109&lt;='B1b '!$G$41,'B1b '!$H$41,IF(AND(L109&lt;='B1b '!$G$40,L109&gt;'B1b '!$G$41),0+(('B1b '!$H$41-'B1b '!$H$40)/('B1b '!$G$41-'B1b '!$G$40))*(L109-'B1b '!$G$40),0))</f>
        <v>120</v>
      </c>
      <c r="N109" s="649"/>
      <c r="O109" s="585">
        <v>15</v>
      </c>
      <c r="P109" s="585">
        <f>IF(O109&lt;='B1b '!$G$43,'B1b '!$H$43,IF(AND(O109&lt;='B1b '!$G$42,O109&gt;'B1b '!$G$43),0+(('B1b '!$H$43-'B1b '!$H$42)/('B1b '!$G$43-'B1b '!$G$42))*(O109-'B1b '!$G$42),0))</f>
        <v>22.5</v>
      </c>
      <c r="Q109" s="579"/>
    </row>
    <row r="110" spans="2:17">
      <c r="B110" s="579"/>
      <c r="C110" s="585">
        <v>16</v>
      </c>
      <c r="D110" s="585">
        <f>IF(C110&lt;='B1b '!$G$35,'B1b '!$H$35,IF(AND(C110&lt;='B1b '!$G$34,C110&gt;'B1b '!$G$35),0+(('B1b '!$H$35-'B1b '!$H$34)/('B1b '!$G$35-'B1b '!$G$34))*(C110-'B1b '!$G$34),0))</f>
        <v>38.918918918918919</v>
      </c>
      <c r="E110" s="649"/>
      <c r="F110" s="585">
        <v>16</v>
      </c>
      <c r="G110" s="585">
        <f>IF(F110&lt;='B1b '!$G$37,'B1b '!$H$37,IF(AND(F110&lt;='B1b '!$G$36,F110&gt;'B1b '!$G$37),0+(('B1b '!$H$37-'B1b '!$H$36)/('B1b '!$G$37-'B1b '!$G$36))*(F110-'B1b '!$G$36),0))</f>
        <v>44.444444444444443</v>
      </c>
      <c r="H110" s="581"/>
      <c r="I110" s="585">
        <v>16</v>
      </c>
      <c r="J110" s="585">
        <f>IF(I110&lt;='B1b '!$G$39,'B1b '!$H$39,IF(AND(I110&lt;='B1b '!$G$38,I110&gt;'B1b '!$G$39),0+(('B1b '!$H$39-'B1b '!$H$38)/('B1b '!$G$39-'B1b '!$G$38))*(I110-'B1b '!$G$38),0))</f>
        <v>35</v>
      </c>
      <c r="K110" s="649"/>
      <c r="L110" s="585">
        <v>16</v>
      </c>
      <c r="M110" s="585">
        <f>IF(L110&lt;='B1b '!$G$41,'B1b '!$H$41,IF(AND(L110&lt;='B1b '!$G$40,L110&gt;'B1b '!$G$41),0+(('B1b '!$H$41-'B1b '!$H$40)/('B1b '!$G$41-'B1b '!$G$40))*(L110-'B1b '!$G$40),0))</f>
        <v>120</v>
      </c>
      <c r="N110" s="649"/>
      <c r="O110" s="585">
        <v>16</v>
      </c>
      <c r="P110" s="585">
        <f>IF(O110&lt;='B1b '!$G$43,'B1b '!$H$43,IF(AND(O110&lt;='B1b '!$G$42,O110&gt;'B1b '!$G$43),0+(('B1b '!$H$43-'B1b '!$H$42)/('B1b '!$G$43-'B1b '!$G$42))*(O110-'B1b '!$G$42),0))</f>
        <v>15</v>
      </c>
      <c r="Q110" s="579"/>
    </row>
    <row r="111" spans="2:17">
      <c r="B111" s="579"/>
      <c r="C111" s="585">
        <v>17</v>
      </c>
      <c r="D111" s="585">
        <f>IF(C111&lt;='B1b '!$G$35,'B1b '!$H$35,IF(AND(C111&lt;='B1b '!$G$34,C111&gt;'B1b '!$G$35),0+(('B1b '!$H$35-'B1b '!$H$34)/('B1b '!$G$35-'B1b '!$G$34))*(C111-'B1b '!$G$34),0))</f>
        <v>37.837837837837839</v>
      </c>
      <c r="E111" s="649"/>
      <c r="F111" s="585">
        <v>17</v>
      </c>
      <c r="G111" s="585">
        <f>IF(F111&lt;='B1b '!$G$37,'B1b '!$H$37,IF(AND(F111&lt;='B1b '!$G$36,F111&gt;'B1b '!$G$37),0+(('B1b '!$H$37-'B1b '!$H$36)/('B1b '!$G$37-'B1b '!$G$36))*(F111-'B1b '!$G$36),0))</f>
        <v>38.888888888888886</v>
      </c>
      <c r="H111" s="581"/>
      <c r="I111" s="585">
        <v>17</v>
      </c>
      <c r="J111" s="585">
        <f>IF(I111&lt;='B1b '!$G$39,'B1b '!$H$39,IF(AND(I111&lt;='B1b '!$G$38,I111&gt;'B1b '!$G$39),0+(('B1b '!$H$39-'B1b '!$H$38)/('B1b '!$G$39-'B1b '!$G$38))*(I111-'B1b '!$G$38),0))</f>
        <v>32.5</v>
      </c>
      <c r="K111" s="649"/>
      <c r="L111" s="585">
        <v>17</v>
      </c>
      <c r="M111" s="585">
        <f>IF(L111&lt;='B1b '!$G$41,'B1b '!$H$41,IF(AND(L111&lt;='B1b '!$G$40,L111&gt;'B1b '!$G$41),0+(('B1b '!$H$41-'B1b '!$H$40)/('B1b '!$G$41-'B1b '!$G$40))*(L111-'B1b '!$G$40),0))</f>
        <v>120</v>
      </c>
      <c r="N111" s="649"/>
      <c r="O111" s="585">
        <v>17</v>
      </c>
      <c r="P111" s="585">
        <f>IF(O111&lt;='B1b '!$G$43,'B1b '!$H$43,IF(AND(O111&lt;='B1b '!$G$42,O111&gt;'B1b '!$G$43),0+(('B1b '!$H$43-'B1b '!$H$42)/('B1b '!$G$43-'B1b '!$G$42))*(O111-'B1b '!$G$42),0))</f>
        <v>7.5</v>
      </c>
      <c r="Q111" s="579"/>
    </row>
    <row r="112" spans="2:17">
      <c r="B112" s="579"/>
      <c r="C112" s="585">
        <v>18</v>
      </c>
      <c r="D112" s="585">
        <f>IF(C112&lt;='B1b '!$G$35,'B1b '!$H$35,IF(AND(C112&lt;='B1b '!$G$34,C112&gt;'B1b '!$G$35),0+(('B1b '!$H$35-'B1b '!$H$34)/('B1b '!$G$35-'B1b '!$G$34))*(C112-'B1b '!$G$34),0))</f>
        <v>36.756756756756758</v>
      </c>
      <c r="E112" s="649"/>
      <c r="F112" s="585">
        <v>18</v>
      </c>
      <c r="G112" s="585">
        <f>IF(F112&lt;='B1b '!$G$37,'B1b '!$H$37,IF(AND(F112&lt;='B1b '!$G$36,F112&gt;'B1b '!$G$37),0+(('B1b '!$H$37-'B1b '!$H$36)/('B1b '!$G$37-'B1b '!$G$36))*(F112-'B1b '!$G$36),0))</f>
        <v>33.333333333333329</v>
      </c>
      <c r="H112" s="581"/>
      <c r="I112" s="585">
        <v>18</v>
      </c>
      <c r="J112" s="585">
        <f>IF(I112&lt;='B1b '!$G$39,'B1b '!$H$39,IF(AND(I112&lt;='B1b '!$G$38,I112&gt;'B1b '!$G$39),0+(('B1b '!$H$39-'B1b '!$H$38)/('B1b '!$G$39-'B1b '!$G$38))*(I112-'B1b '!$G$38),0))</f>
        <v>30</v>
      </c>
      <c r="K112" s="649"/>
      <c r="L112" s="585">
        <v>18</v>
      </c>
      <c r="M112" s="585">
        <f>IF(L112&lt;='B1b '!$G$41,'B1b '!$H$41,IF(AND(L112&lt;='B1b '!$G$40,L112&gt;'B1b '!$G$41),0+(('B1b '!$H$41-'B1b '!$H$40)/('B1b '!$G$41-'B1b '!$G$40))*(L112-'B1b '!$G$40),0))</f>
        <v>120</v>
      </c>
      <c r="N112" s="649"/>
      <c r="O112" s="585">
        <v>18</v>
      </c>
      <c r="P112" s="585">
        <f>IF(O112&lt;='B1b '!$G$43,'B1b '!$H$43,IF(AND(O112&lt;='B1b '!$G$42,O112&gt;'B1b '!$G$43),0+(('B1b '!$H$43-'B1b '!$H$42)/('B1b '!$G$43-'B1b '!$G$42))*(O112-'B1b '!$G$42),0))</f>
        <v>0</v>
      </c>
      <c r="Q112" s="579"/>
    </row>
    <row r="113" spans="2:17">
      <c r="B113" s="579"/>
      <c r="C113" s="585">
        <v>19</v>
      </c>
      <c r="D113" s="585">
        <f>IF(C113&lt;='B1b '!$G$35,'B1b '!$H$35,IF(AND(C113&lt;='B1b '!$G$34,C113&gt;'B1b '!$G$35),0+(('B1b '!$H$35-'B1b '!$H$34)/('B1b '!$G$35-'B1b '!$G$34))*(C113-'B1b '!$G$34),0))</f>
        <v>35.675675675675677</v>
      </c>
      <c r="E113" s="649"/>
      <c r="F113" s="585">
        <v>19</v>
      </c>
      <c r="G113" s="585">
        <f>IF(F113&lt;='B1b '!$G$37,'B1b '!$H$37,IF(AND(F113&lt;='B1b '!$G$36,F113&gt;'B1b '!$G$37),0+(('B1b '!$H$37-'B1b '!$H$36)/('B1b '!$G$37-'B1b '!$G$36))*(F113-'B1b '!$G$36),0))</f>
        <v>27.777777777777779</v>
      </c>
      <c r="H113" s="581"/>
      <c r="I113" s="585">
        <v>19</v>
      </c>
      <c r="J113" s="585">
        <f>IF(I113&lt;='B1b '!$G$39,'B1b '!$H$39,IF(AND(I113&lt;='B1b '!$G$38,I113&gt;'B1b '!$G$39),0+(('B1b '!$H$39-'B1b '!$H$38)/('B1b '!$G$39-'B1b '!$G$38))*(I113-'B1b '!$G$38),0))</f>
        <v>27.5</v>
      </c>
      <c r="K113" s="649"/>
      <c r="L113" s="585">
        <v>19</v>
      </c>
      <c r="M113" s="585">
        <f>IF(L113&lt;='B1b '!$G$41,'B1b '!$H$41,IF(AND(L113&lt;='B1b '!$G$40,L113&gt;'B1b '!$G$41),0+(('B1b '!$H$41-'B1b '!$H$40)/('B1b '!$G$41-'B1b '!$G$40))*(L113-'B1b '!$G$40),0))</f>
        <v>120</v>
      </c>
      <c r="N113" s="649"/>
      <c r="O113" s="585">
        <v>19</v>
      </c>
      <c r="P113" s="585">
        <f>IF(O113&lt;='B1b '!$G$43,'B1b '!$H$43,IF(AND(O113&lt;='B1b '!$G$42,O113&gt;'B1b '!$G$43),0+(('B1b '!$H$43-'B1b '!$H$42)/('B1b '!$G$43-'B1b '!$G$42))*(O113-'B1b '!$G$42),0))</f>
        <v>0</v>
      </c>
      <c r="Q113" s="579"/>
    </row>
    <row r="114" spans="2:17">
      <c r="B114" s="579"/>
      <c r="C114" s="585">
        <v>20</v>
      </c>
      <c r="D114" s="585">
        <f>IF(C114&lt;='B1b '!$G$35,'B1b '!$H$35,IF(AND(C114&lt;='B1b '!$G$34,C114&gt;'B1b '!$G$35),0+(('B1b '!$H$35-'B1b '!$H$34)/('B1b '!$G$35-'B1b '!$G$34))*(C114-'B1b '!$G$34),0))</f>
        <v>34.594594594594597</v>
      </c>
      <c r="E114" s="649"/>
      <c r="F114" s="585">
        <v>20</v>
      </c>
      <c r="G114" s="585">
        <f>IF(F114&lt;='B1b '!$G$37,'B1b '!$H$37,IF(AND(F114&lt;='B1b '!$G$36,F114&gt;'B1b '!$G$37),0+(('B1b '!$H$37-'B1b '!$H$36)/('B1b '!$G$37-'B1b '!$G$36))*(F114-'B1b '!$G$36),0))</f>
        <v>22.222222222222221</v>
      </c>
      <c r="H114" s="581"/>
      <c r="I114" s="585">
        <v>20</v>
      </c>
      <c r="J114" s="585">
        <f>IF(I114&lt;='B1b '!$G$39,'B1b '!$H$39,IF(AND(I114&lt;='B1b '!$G$38,I114&gt;'B1b '!$G$39),0+(('B1b '!$H$39-'B1b '!$H$38)/('B1b '!$G$39-'B1b '!$G$38))*(I114-'B1b '!$G$38),0))</f>
        <v>25</v>
      </c>
      <c r="K114" s="649"/>
      <c r="L114" s="585">
        <v>20</v>
      </c>
      <c r="M114" s="585">
        <f>IF(L114&lt;='B1b '!$G$41,'B1b '!$H$41,IF(AND(L114&lt;='B1b '!$G$40,L114&gt;'B1b '!$G$41),0+(('B1b '!$H$41-'B1b '!$H$40)/('B1b '!$G$41-'B1b '!$G$40))*(L114-'B1b '!$G$40),0))</f>
        <v>120</v>
      </c>
      <c r="N114" s="649"/>
      <c r="O114" s="585">
        <v>20</v>
      </c>
      <c r="P114" s="585">
        <f>IF(O114&lt;='B1b '!$G$43,'B1b '!$H$43,IF(AND(O114&lt;='B1b '!$G$42,O114&gt;'B1b '!$G$43),0+(('B1b '!$H$43-'B1b '!$H$42)/('B1b '!$G$43-'B1b '!$G$42))*(O114-'B1b '!$G$42),0))</f>
        <v>0</v>
      </c>
      <c r="Q114" s="579"/>
    </row>
    <row r="115" spans="2:17">
      <c r="B115" s="579"/>
      <c r="C115" s="585">
        <v>21</v>
      </c>
      <c r="D115" s="585">
        <f>IF(C115&lt;='B1b '!$G$35,'B1b '!$H$35,IF(AND(C115&lt;='B1b '!$G$34,C115&gt;'B1b '!$G$35),0+(('B1b '!$H$35-'B1b '!$H$34)/('B1b '!$G$35-'B1b '!$G$34))*(C115-'B1b '!$G$34),0))</f>
        <v>33.513513513513516</v>
      </c>
      <c r="E115" s="649"/>
      <c r="F115" s="585">
        <v>21</v>
      </c>
      <c r="G115" s="585">
        <f>IF(F115&lt;='B1b '!$G$37,'B1b '!$H$37,IF(AND(F115&lt;='B1b '!$G$36,F115&gt;'B1b '!$G$37),0+(('B1b '!$H$37-'B1b '!$H$36)/('B1b '!$G$37-'B1b '!$G$36))*(F115-'B1b '!$G$36),0))</f>
        <v>16.666666666666664</v>
      </c>
      <c r="H115" s="581"/>
      <c r="I115" s="585">
        <v>21</v>
      </c>
      <c r="J115" s="585">
        <f>IF(I115&lt;='B1b '!$G$39,'B1b '!$H$39,IF(AND(I115&lt;='B1b '!$G$38,I115&gt;'B1b '!$G$39),0+(('B1b '!$H$39-'B1b '!$H$38)/('B1b '!$G$39-'B1b '!$G$38))*(I115-'B1b '!$G$38),0))</f>
        <v>22.5</v>
      </c>
      <c r="K115" s="649"/>
      <c r="L115" s="585">
        <v>21</v>
      </c>
      <c r="M115" s="585">
        <f>IF(L115&lt;='B1b '!$G$41,'B1b '!$H$41,IF(AND(L115&lt;='B1b '!$G$40,L115&gt;'B1b '!$G$41),0+(('B1b '!$H$41-'B1b '!$H$40)/('B1b '!$G$41-'B1b '!$G$40))*(L115-'B1b '!$G$40),0))</f>
        <v>120</v>
      </c>
      <c r="N115" s="649"/>
      <c r="O115" s="585">
        <v>21</v>
      </c>
      <c r="P115" s="585">
        <f>IF(O115&lt;='B1b '!$G$43,'B1b '!$H$43,IF(AND(O115&lt;='B1b '!$G$42,O115&gt;'B1b '!$G$43),0+(('B1b '!$H$43-'B1b '!$H$42)/('B1b '!$G$43-'B1b '!$G$42))*(O115-'B1b '!$G$42),0))</f>
        <v>0</v>
      </c>
      <c r="Q115" s="579"/>
    </row>
    <row r="116" spans="2:17">
      <c r="B116" s="579"/>
      <c r="C116" s="585">
        <v>22</v>
      </c>
      <c r="D116" s="585">
        <f>IF(C116&lt;='B1b '!$G$35,'B1b '!$H$35,IF(AND(C116&lt;='B1b '!$G$34,C116&gt;'B1b '!$G$35),0+(('B1b '!$H$35-'B1b '!$H$34)/('B1b '!$G$35-'B1b '!$G$34))*(C116-'B1b '!$G$34),0))</f>
        <v>32.432432432432435</v>
      </c>
      <c r="E116" s="649"/>
      <c r="F116" s="585">
        <v>22</v>
      </c>
      <c r="G116" s="585">
        <f>IF(F116&lt;='B1b '!$G$37,'B1b '!$H$37,IF(AND(F116&lt;='B1b '!$G$36,F116&gt;'B1b '!$G$37),0+(('B1b '!$H$37-'B1b '!$H$36)/('B1b '!$G$37-'B1b '!$G$36))*(F116-'B1b '!$G$36),0))</f>
        <v>11.111111111111111</v>
      </c>
      <c r="H116" s="581"/>
      <c r="I116" s="585">
        <v>22</v>
      </c>
      <c r="J116" s="585">
        <f>IF(I116&lt;='B1b '!$G$39,'B1b '!$H$39,IF(AND(I116&lt;='B1b '!$G$38,I116&gt;'B1b '!$G$39),0+(('B1b '!$H$39-'B1b '!$H$38)/('B1b '!$G$39-'B1b '!$G$38))*(I116-'B1b '!$G$38),0))</f>
        <v>20</v>
      </c>
      <c r="K116" s="649"/>
      <c r="L116" s="585">
        <v>22</v>
      </c>
      <c r="M116" s="585">
        <f>IF(L116&lt;='B1b '!$G$41,'B1b '!$H$41,IF(AND(L116&lt;='B1b '!$G$40,L116&gt;'B1b '!$G$41),0+(('B1b '!$H$41-'B1b '!$H$40)/('B1b '!$G$41-'B1b '!$G$40))*(L116-'B1b '!$G$40),0))</f>
        <v>120</v>
      </c>
      <c r="N116" s="649"/>
      <c r="O116" s="585">
        <v>22</v>
      </c>
      <c r="P116" s="585">
        <f>IF(O116&lt;='B1b '!$G$43,'B1b '!$H$43,IF(AND(O116&lt;='B1b '!$G$42,O116&gt;'B1b '!$G$43),0+(('B1b '!$H$43-'B1b '!$H$42)/('B1b '!$G$43-'B1b '!$G$42))*(O116-'B1b '!$G$42),0))</f>
        <v>0</v>
      </c>
      <c r="Q116" s="579"/>
    </row>
    <row r="117" spans="2:17">
      <c r="B117" s="579"/>
      <c r="C117" s="585">
        <v>23</v>
      </c>
      <c r="D117" s="585">
        <f>IF(C117&lt;='B1b '!$G$35,'B1b '!$H$35,IF(AND(C117&lt;='B1b '!$G$34,C117&gt;'B1b '!$G$35),0+(('B1b '!$H$35-'B1b '!$H$34)/('B1b '!$G$35-'B1b '!$G$34))*(C117-'B1b '!$G$34),0))</f>
        <v>31.351351351351354</v>
      </c>
      <c r="E117" s="649"/>
      <c r="F117" s="585">
        <v>23</v>
      </c>
      <c r="G117" s="585">
        <f>IF(F117&lt;='B1b '!$G$37,'B1b '!$H$37,IF(AND(F117&lt;='B1b '!$G$36,F117&gt;'B1b '!$G$37),0+(('B1b '!$H$37-'B1b '!$H$36)/('B1b '!$G$37-'B1b '!$G$36))*(F117-'B1b '!$G$36),0))</f>
        <v>5.5555555555555554</v>
      </c>
      <c r="H117" s="581"/>
      <c r="I117" s="585">
        <v>23</v>
      </c>
      <c r="J117" s="585">
        <f>IF(I117&lt;='B1b '!$G$39,'B1b '!$H$39,IF(AND(I117&lt;='B1b '!$G$38,I117&gt;'B1b '!$G$39),0+(('B1b '!$H$39-'B1b '!$H$38)/('B1b '!$G$39-'B1b '!$G$38))*(I117-'B1b '!$G$38),0))</f>
        <v>17.5</v>
      </c>
      <c r="K117" s="649"/>
      <c r="L117" s="585">
        <v>23</v>
      </c>
      <c r="M117" s="585">
        <f>IF(L117&lt;='B1b '!$G$41,'B1b '!$H$41,IF(AND(L117&lt;='B1b '!$G$40,L117&gt;'B1b '!$G$41),0+(('B1b '!$H$41-'B1b '!$H$40)/('B1b '!$G$41-'B1b '!$G$40))*(L117-'B1b '!$G$40),0))</f>
        <v>120</v>
      </c>
      <c r="N117" s="649"/>
      <c r="O117" s="585">
        <v>23</v>
      </c>
      <c r="P117" s="585">
        <f>IF(O117&lt;='B1b '!$G$43,'B1b '!$H$43,IF(AND(O117&lt;='B1b '!$G$42,O117&gt;'B1b '!$G$43),0+(('B1b '!$H$43-'B1b '!$H$42)/('B1b '!$G$43-'B1b '!$G$42))*(O117-'B1b '!$G$42),0))</f>
        <v>0</v>
      </c>
      <c r="Q117" s="579"/>
    </row>
    <row r="118" spans="2:17">
      <c r="B118" s="579"/>
      <c r="C118" s="585">
        <v>24</v>
      </c>
      <c r="D118" s="585">
        <f>IF(C118&lt;='B1b '!$G$35,'B1b '!$H$35,IF(AND(C118&lt;='B1b '!$G$34,C118&gt;'B1b '!$G$35),0+(('B1b '!$H$35-'B1b '!$H$34)/('B1b '!$G$35-'B1b '!$G$34))*(C118-'B1b '!$G$34),0))</f>
        <v>30.270270270270274</v>
      </c>
      <c r="E118" s="649"/>
      <c r="F118" s="585">
        <v>24</v>
      </c>
      <c r="G118" s="585">
        <f>IF(F118&lt;='B1b '!$G$37,'B1b '!$H$37,IF(AND(F118&lt;='B1b '!$G$36,F118&gt;'B1b '!$G$37),0+(('B1b '!$H$37-'B1b '!$H$36)/('B1b '!$G$37-'B1b '!$G$36))*(F118-'B1b '!$G$36),0))</f>
        <v>0</v>
      </c>
      <c r="H118" s="581"/>
      <c r="I118" s="585">
        <v>24</v>
      </c>
      <c r="J118" s="585">
        <f>IF(I118&lt;='B1b '!$G$39,'B1b '!$H$39,IF(AND(I118&lt;='B1b '!$G$38,I118&gt;'B1b '!$G$39),0+(('B1b '!$H$39-'B1b '!$H$38)/('B1b '!$G$39-'B1b '!$G$38))*(I118-'B1b '!$G$38),0))</f>
        <v>15</v>
      </c>
      <c r="K118" s="649"/>
      <c r="L118" s="585">
        <v>24</v>
      </c>
      <c r="M118" s="585">
        <f>IF(L118&lt;='B1b '!$G$41,'B1b '!$H$41,IF(AND(L118&lt;='B1b '!$G$40,L118&gt;'B1b '!$G$41),0+(('B1b '!$H$41-'B1b '!$H$40)/('B1b '!$G$41-'B1b '!$G$40))*(L118-'B1b '!$G$40),0))</f>
        <v>120</v>
      </c>
      <c r="N118" s="649"/>
      <c r="O118" s="585">
        <v>24</v>
      </c>
      <c r="P118" s="585">
        <f>IF(O118&lt;='B1b '!$G$43,'B1b '!$H$43,IF(AND(O118&lt;='B1b '!$G$42,O118&gt;'B1b '!$G$43),0+(('B1b '!$H$43-'B1b '!$H$42)/('B1b '!$G$43-'B1b '!$G$42))*(O118-'B1b '!$G$42),0))</f>
        <v>0</v>
      </c>
      <c r="Q118" s="579"/>
    </row>
    <row r="119" spans="2:17">
      <c r="B119" s="579"/>
      <c r="C119" s="585">
        <v>25</v>
      </c>
      <c r="D119" s="585">
        <f>IF(C119&lt;='B1b '!$G$35,'B1b '!$H$35,IF(AND(C119&lt;='B1b '!$G$34,C119&gt;'B1b '!$G$35),0+(('B1b '!$H$35-'B1b '!$H$34)/('B1b '!$G$35-'B1b '!$G$34))*(C119-'B1b '!$G$34),0))</f>
        <v>29.189189189189189</v>
      </c>
      <c r="E119" s="649"/>
      <c r="F119" s="585">
        <v>25</v>
      </c>
      <c r="G119" s="585">
        <f>IF(F119&lt;='B1b '!$G$37,'B1b '!$H$37,IF(AND(F119&lt;='B1b '!$G$36,F119&gt;'B1b '!$G$37),0+(('B1b '!$H$37-'B1b '!$H$36)/('B1b '!$G$37-'B1b '!$G$36))*(F119-'B1b '!$G$36),0))</f>
        <v>0</v>
      </c>
      <c r="H119" s="581"/>
      <c r="I119" s="585">
        <v>25</v>
      </c>
      <c r="J119" s="585">
        <f>IF(I119&lt;='B1b '!$G$39,'B1b '!$H$39,IF(AND(I119&lt;='B1b '!$G$38,I119&gt;'B1b '!$G$39),0+(('B1b '!$H$39-'B1b '!$H$38)/('B1b '!$G$39-'B1b '!$G$38))*(I119-'B1b '!$G$38),0))</f>
        <v>12.5</v>
      </c>
      <c r="K119" s="649"/>
      <c r="L119" s="585">
        <v>25</v>
      </c>
      <c r="M119" s="585">
        <f>IF(L119&lt;='B1b '!$G$41,'B1b '!$H$41,IF(AND(L119&lt;='B1b '!$G$40,L119&gt;'B1b '!$G$41),0+(('B1b '!$H$41-'B1b '!$H$40)/('B1b '!$G$41-'B1b '!$G$40))*(L119-'B1b '!$G$40),0))</f>
        <v>120</v>
      </c>
      <c r="N119" s="649"/>
      <c r="O119" s="585">
        <v>25</v>
      </c>
      <c r="P119" s="585">
        <f>IF(O119&lt;='B1b '!$G$43,'B1b '!$H$43,IF(AND(O119&lt;='B1b '!$G$42,O119&gt;'B1b '!$G$43),0+(('B1b '!$H$43-'B1b '!$H$42)/('B1b '!$G$43-'B1b '!$G$42))*(O119-'B1b '!$G$42),0))</f>
        <v>0</v>
      </c>
      <c r="Q119" s="579"/>
    </row>
    <row r="120" spans="2:17">
      <c r="B120" s="579"/>
      <c r="C120" s="585">
        <v>26</v>
      </c>
      <c r="D120" s="585">
        <f>IF(C120&lt;='B1b '!$G$35,'B1b '!$H$35,IF(AND(C120&lt;='B1b '!$G$34,C120&gt;'B1b '!$G$35),0+(('B1b '!$H$35-'B1b '!$H$34)/('B1b '!$G$35-'B1b '!$G$34))*(C120-'B1b '!$G$34),0))</f>
        <v>28.108108108108109</v>
      </c>
      <c r="E120" s="649"/>
      <c r="F120" s="585">
        <v>26</v>
      </c>
      <c r="G120" s="585">
        <f>IF(F120&lt;='B1b '!$G$37,'B1b '!$H$37,IF(AND(F120&lt;='B1b '!$G$36,F120&gt;'B1b '!$G$37),0+(('B1b '!$H$37-'B1b '!$H$36)/('B1b '!$G$37-'B1b '!$G$36))*(F120-'B1b '!$G$36),0))</f>
        <v>0</v>
      </c>
      <c r="H120" s="581"/>
      <c r="I120" s="585">
        <v>26</v>
      </c>
      <c r="J120" s="585">
        <f>IF(I120&lt;='B1b '!$G$39,'B1b '!$H$39,IF(AND(I120&lt;='B1b '!$G$38,I120&gt;'B1b '!$G$39),0+(('B1b '!$H$39-'B1b '!$H$38)/('B1b '!$G$39-'B1b '!$G$38))*(I120-'B1b '!$G$38),0))</f>
        <v>10</v>
      </c>
      <c r="K120" s="649"/>
      <c r="L120" s="585">
        <v>26</v>
      </c>
      <c r="M120" s="585">
        <f>IF(L120&lt;='B1b '!$G$41,'B1b '!$H$41,IF(AND(L120&lt;='B1b '!$G$40,L120&gt;'B1b '!$G$41),0+(('B1b '!$H$41-'B1b '!$H$40)/('B1b '!$G$41-'B1b '!$G$40))*(L120-'B1b '!$G$40),0))</f>
        <v>120</v>
      </c>
      <c r="N120" s="649"/>
      <c r="O120" s="585">
        <v>26</v>
      </c>
      <c r="P120" s="585">
        <f>IF(O120&lt;='B1b '!$G$43,'B1b '!$H$43,IF(AND(O120&lt;='B1b '!$G$42,O120&gt;'B1b '!$G$43),0+(('B1b '!$H$43-'B1b '!$H$42)/('B1b '!$G$43-'B1b '!$G$42))*(O120-'B1b '!$G$42),0))</f>
        <v>0</v>
      </c>
      <c r="Q120" s="579"/>
    </row>
    <row r="121" spans="2:17">
      <c r="B121" s="579"/>
      <c r="C121" s="585">
        <v>27</v>
      </c>
      <c r="D121" s="585">
        <f>IF(C121&lt;='B1b '!$G$35,'B1b '!$H$35,IF(AND(C121&lt;='B1b '!$G$34,C121&gt;'B1b '!$G$35),0+(('B1b '!$H$35-'B1b '!$H$34)/('B1b '!$G$35-'B1b '!$G$34))*(C121-'B1b '!$G$34),0))</f>
        <v>27.027027027027028</v>
      </c>
      <c r="E121" s="649"/>
      <c r="F121" s="585">
        <v>27</v>
      </c>
      <c r="G121" s="585">
        <f>IF(F121&lt;='B1b '!$G$37,'B1b '!$H$37,IF(AND(F121&lt;='B1b '!$G$36,F121&gt;'B1b '!$G$37),0+(('B1b '!$H$37-'B1b '!$H$36)/('B1b '!$G$37-'B1b '!$G$36))*(F121-'B1b '!$G$36),0))</f>
        <v>0</v>
      </c>
      <c r="H121" s="581"/>
      <c r="I121" s="585">
        <v>27</v>
      </c>
      <c r="J121" s="585">
        <f>IF(I121&lt;='B1b '!$G$39,'B1b '!$H$39,IF(AND(I121&lt;='B1b '!$G$38,I121&gt;'B1b '!$G$39),0+(('B1b '!$H$39-'B1b '!$H$38)/('B1b '!$G$39-'B1b '!$G$38))*(I121-'B1b '!$G$38),0))</f>
        <v>7.5</v>
      </c>
      <c r="K121" s="649"/>
      <c r="L121" s="585">
        <v>27</v>
      </c>
      <c r="M121" s="585">
        <f>IF(L121&lt;='B1b '!$G$41,'B1b '!$H$41,IF(AND(L121&lt;='B1b '!$G$40,L121&gt;'B1b '!$G$41),0+(('B1b '!$H$41-'B1b '!$H$40)/('B1b '!$G$41-'B1b '!$G$40))*(L121-'B1b '!$G$40),0))</f>
        <v>120</v>
      </c>
      <c r="N121" s="649"/>
      <c r="O121" s="585">
        <v>27</v>
      </c>
      <c r="P121" s="585">
        <f>IF(O121&lt;='B1b '!$G$43,'B1b '!$H$43,IF(AND(O121&lt;='B1b '!$G$42,O121&gt;'B1b '!$G$43),0+(('B1b '!$H$43-'B1b '!$H$42)/('B1b '!$G$43-'B1b '!$G$42))*(O121-'B1b '!$G$42),0))</f>
        <v>0</v>
      </c>
      <c r="Q121" s="579"/>
    </row>
    <row r="122" spans="2:17">
      <c r="B122" s="579"/>
      <c r="C122" s="585">
        <v>28</v>
      </c>
      <c r="D122" s="585">
        <f>IF(C122&lt;='B1b '!$G$35,'B1b '!$H$35,IF(AND(C122&lt;='B1b '!$G$34,C122&gt;'B1b '!$G$35),0+(('B1b '!$H$35-'B1b '!$H$34)/('B1b '!$G$35-'B1b '!$G$34))*(C122-'B1b '!$G$34),0))</f>
        <v>25.945945945945947</v>
      </c>
      <c r="E122" s="649"/>
      <c r="F122" s="585">
        <v>28</v>
      </c>
      <c r="G122" s="585">
        <f>IF(F122&lt;='B1b '!$G$37,'B1b '!$H$37,IF(AND(F122&lt;='B1b '!$G$36,F122&gt;'B1b '!$G$37),0+(('B1b '!$H$37-'B1b '!$H$36)/('B1b '!$G$37-'B1b '!$G$36))*(F122-'B1b '!$G$36),0))</f>
        <v>0</v>
      </c>
      <c r="H122" s="581"/>
      <c r="I122" s="585">
        <v>28</v>
      </c>
      <c r="J122" s="585">
        <f>IF(I122&lt;='B1b '!$G$39,'B1b '!$H$39,IF(AND(I122&lt;='B1b '!$G$38,I122&gt;'B1b '!$G$39),0+(('B1b '!$H$39-'B1b '!$H$38)/('B1b '!$G$39-'B1b '!$G$38))*(I122-'B1b '!$G$38),0))</f>
        <v>5</v>
      </c>
      <c r="K122" s="649"/>
      <c r="L122" s="585">
        <v>28</v>
      </c>
      <c r="M122" s="585">
        <f>IF(L122&lt;='B1b '!$G$41,'B1b '!$H$41,IF(AND(L122&lt;='B1b '!$G$40,L122&gt;'B1b '!$G$41),0+(('B1b '!$H$41-'B1b '!$H$40)/('B1b '!$G$41-'B1b '!$G$40))*(L122-'B1b '!$G$40),0))</f>
        <v>120</v>
      </c>
      <c r="N122" s="649"/>
      <c r="O122" s="585">
        <v>28</v>
      </c>
      <c r="P122" s="585">
        <f>IF(O122&lt;='B1b '!$G$43,'B1b '!$H$43,IF(AND(O122&lt;='B1b '!$G$42,O122&gt;'B1b '!$G$43),0+(('B1b '!$H$43-'B1b '!$H$42)/('B1b '!$G$43-'B1b '!$G$42))*(O122-'B1b '!$G$42),0))</f>
        <v>0</v>
      </c>
      <c r="Q122" s="579"/>
    </row>
    <row r="123" spans="2:17">
      <c r="B123" s="579"/>
      <c r="C123" s="585">
        <v>29</v>
      </c>
      <c r="D123" s="585">
        <f>IF(C123&lt;='B1b '!$G$35,'B1b '!$H$35,IF(AND(C123&lt;='B1b '!$G$34,C123&gt;'B1b '!$G$35),0+(('B1b '!$H$35-'B1b '!$H$34)/('B1b '!$G$35-'B1b '!$G$34))*(C123-'B1b '!$G$34),0))</f>
        <v>24.864864864864867</v>
      </c>
      <c r="E123" s="649"/>
      <c r="F123" s="585">
        <v>29</v>
      </c>
      <c r="G123" s="585">
        <f>IF(F123&lt;='B1b '!$G$37,'B1b '!$H$37,IF(AND(F123&lt;='B1b '!$G$36,F123&gt;'B1b '!$G$37),0+(('B1b '!$H$37-'B1b '!$H$36)/('B1b '!$G$37-'B1b '!$G$36))*(F123-'B1b '!$G$36),0))</f>
        <v>0</v>
      </c>
      <c r="H123" s="581"/>
      <c r="I123" s="585">
        <v>29</v>
      </c>
      <c r="J123" s="585">
        <f>IF(I123&lt;='B1b '!$G$39,'B1b '!$H$39,IF(AND(I123&lt;='B1b '!$G$38,I123&gt;'B1b '!$G$39),0+(('B1b '!$H$39-'B1b '!$H$38)/('B1b '!$G$39-'B1b '!$G$38))*(I123-'B1b '!$G$38),0))</f>
        <v>2.5</v>
      </c>
      <c r="K123" s="649"/>
      <c r="L123" s="585">
        <v>29</v>
      </c>
      <c r="M123" s="585">
        <f>IF(L123&lt;='B1b '!$G$41,'B1b '!$H$41,IF(AND(L123&lt;='B1b '!$G$40,L123&gt;'B1b '!$G$41),0+(('B1b '!$H$41-'B1b '!$H$40)/('B1b '!$G$41-'B1b '!$G$40))*(L123-'B1b '!$G$40),0))</f>
        <v>120</v>
      </c>
      <c r="N123" s="649"/>
      <c r="O123" s="585">
        <v>29</v>
      </c>
      <c r="P123" s="585">
        <f>IF(O123&lt;='B1b '!$G$43,'B1b '!$H$43,IF(AND(O123&lt;='B1b '!$G$42,O123&gt;'B1b '!$G$43),0+(('B1b '!$H$43-'B1b '!$H$42)/('B1b '!$G$43-'B1b '!$G$42))*(O123-'B1b '!$G$42),0))</f>
        <v>0</v>
      </c>
      <c r="Q123" s="579"/>
    </row>
    <row r="124" spans="2:17">
      <c r="B124" s="579"/>
      <c r="C124" s="585">
        <v>30</v>
      </c>
      <c r="D124" s="585">
        <f>IF(C124&lt;='B1b '!$G$35,'B1b '!$H$35,IF(AND(C124&lt;='B1b '!$G$34,C124&gt;'B1b '!$G$35),0+(('B1b '!$H$35-'B1b '!$H$34)/('B1b '!$G$35-'B1b '!$G$34))*(C124-'B1b '!$G$34),0))</f>
        <v>23.783783783783786</v>
      </c>
      <c r="E124" s="649"/>
      <c r="F124" s="585">
        <v>30</v>
      </c>
      <c r="G124" s="585">
        <f>IF(F124&lt;='B1b '!$G$37,'B1b '!$H$37,IF(AND(F124&lt;='B1b '!$G$36,F124&gt;'B1b '!$G$37),0+(('B1b '!$H$37-'B1b '!$H$36)/('B1b '!$G$37-'B1b '!$G$36))*(F124-'B1b '!$G$36),0))</f>
        <v>0</v>
      </c>
      <c r="H124" s="581"/>
      <c r="I124" s="585">
        <v>30</v>
      </c>
      <c r="J124" s="585">
        <f>IF(I124&lt;='B1b '!$G$39,'B1b '!$H$39,IF(AND(I124&lt;='B1b '!$G$38,I124&gt;'B1b '!$G$39),0+(('B1b '!$H$39-'B1b '!$H$38)/('B1b '!$G$39-'B1b '!$G$38))*(I124-'B1b '!$G$38),0))</f>
        <v>0</v>
      </c>
      <c r="K124" s="649"/>
      <c r="L124" s="585">
        <v>30</v>
      </c>
      <c r="M124" s="585">
        <f>IF(L124&lt;='B1b '!$G$41,'B1b '!$H$41,IF(AND(L124&lt;='B1b '!$G$40,L124&gt;'B1b '!$G$41),0+(('B1b '!$H$41-'B1b '!$H$40)/('B1b '!$G$41-'B1b '!$G$40))*(L124-'B1b '!$G$40),0))</f>
        <v>120</v>
      </c>
      <c r="N124" s="649"/>
      <c r="O124" s="585">
        <v>30</v>
      </c>
      <c r="P124" s="585">
        <f>IF(O124&lt;='B1b '!$G$43,'B1b '!$H$43,IF(AND(O124&lt;='B1b '!$G$42,O124&gt;'B1b '!$G$43),0+(('B1b '!$H$43-'B1b '!$H$42)/('B1b '!$G$43-'B1b '!$G$42))*(O124-'B1b '!$G$42),0))</f>
        <v>0</v>
      </c>
      <c r="Q124" s="579"/>
    </row>
    <row r="125" spans="2:17">
      <c r="B125" s="579"/>
      <c r="C125" s="585">
        <v>31</v>
      </c>
      <c r="D125" s="585">
        <f>IF(C125&lt;='B1b '!$G$35,'B1b '!$H$35,IF(AND(C125&lt;='B1b '!$G$34,C125&gt;'B1b '!$G$35),0+(('B1b '!$H$35-'B1b '!$H$34)/('B1b '!$G$35-'B1b '!$G$34))*(C125-'B1b '!$G$34),0))</f>
        <v>22.702702702702705</v>
      </c>
      <c r="E125" s="649"/>
      <c r="F125" s="585">
        <v>31</v>
      </c>
      <c r="G125" s="585">
        <f>IF(F125&lt;='B1b '!$G$37,'B1b '!$H$37,IF(AND(F125&lt;='B1b '!$G$36,F125&gt;'B1b '!$G$37),0+(('B1b '!$H$37-'B1b '!$H$36)/('B1b '!$G$37-'B1b '!$G$36))*(F125-'B1b '!$G$36),0))</f>
        <v>0</v>
      </c>
      <c r="H125" s="581"/>
      <c r="I125" s="585">
        <v>31</v>
      </c>
      <c r="J125" s="585">
        <f>IF(I125&lt;='B1b '!$G$39,'B1b '!$H$39,IF(AND(I125&lt;='B1b '!$G$38,I125&gt;'B1b '!$G$39),0+(('B1b '!$H$39-'B1b '!$H$38)/('B1b '!$G$39-'B1b '!$G$38))*(I125-'B1b '!$G$38),0))</f>
        <v>0</v>
      </c>
      <c r="K125" s="649"/>
      <c r="L125" s="585">
        <v>31</v>
      </c>
      <c r="M125" s="585">
        <f>IF(L125&lt;='B1b '!$G$41,'B1b '!$H$41,IF(AND(L125&lt;='B1b '!$G$40,L125&gt;'B1b '!$G$41),0+(('B1b '!$H$41-'B1b '!$H$40)/('B1b '!$G$41-'B1b '!$G$40))*(L125-'B1b '!$G$40),0))</f>
        <v>120</v>
      </c>
      <c r="N125" s="649"/>
      <c r="O125" s="585"/>
      <c r="P125" s="585"/>
      <c r="Q125" s="579"/>
    </row>
    <row r="126" spans="2:17">
      <c r="B126" s="579"/>
      <c r="C126" s="585">
        <v>32</v>
      </c>
      <c r="D126" s="585">
        <f>IF(C126&lt;='B1b '!$G$35,'B1b '!$H$35,IF(AND(C126&lt;='B1b '!$G$34,C126&gt;'B1b '!$G$35),0+(('B1b '!$H$35-'B1b '!$H$34)/('B1b '!$G$35-'B1b '!$G$34))*(C126-'B1b '!$G$34),0))</f>
        <v>21.621621621621621</v>
      </c>
      <c r="E126" s="649"/>
      <c r="F126" s="585">
        <v>32</v>
      </c>
      <c r="G126" s="585">
        <f>IF(F126&lt;='B1b '!$G$37,'B1b '!$H$37,IF(AND(F126&lt;='B1b '!$G$36,F126&gt;'B1b '!$G$37),0+(('B1b '!$H$37-'B1b '!$H$36)/('B1b '!$G$37-'B1b '!$G$36))*(F126-'B1b '!$G$36),0))</f>
        <v>0</v>
      </c>
      <c r="H126" s="581"/>
      <c r="I126" s="585">
        <v>32</v>
      </c>
      <c r="J126" s="585">
        <f>IF(I126&lt;='B1b '!$G$39,'B1b '!$H$39,IF(AND(I126&lt;='B1b '!$G$38,I126&gt;'B1b '!$G$39),0+(('B1b '!$H$39-'B1b '!$H$38)/('B1b '!$G$39-'B1b '!$G$38))*(I126-'B1b '!$G$38),0))</f>
        <v>0</v>
      </c>
      <c r="K126" s="649"/>
      <c r="L126" s="585">
        <v>32</v>
      </c>
      <c r="M126" s="585">
        <f>IF(L126&lt;='B1b '!$G$41,'B1b '!$H$41,IF(AND(L126&lt;='B1b '!$G$40,L126&gt;'B1b '!$G$41),0+(('B1b '!$H$41-'B1b '!$H$40)/('B1b '!$G$41-'B1b '!$G$40))*(L126-'B1b '!$G$40),0))</f>
        <v>120</v>
      </c>
      <c r="N126" s="649"/>
      <c r="O126" s="585"/>
      <c r="P126" s="585"/>
      <c r="Q126" s="579"/>
    </row>
    <row r="127" spans="2:17">
      <c r="B127" s="579"/>
      <c r="C127" s="585">
        <v>33</v>
      </c>
      <c r="D127" s="585">
        <f>IF(C127&lt;='B1b '!$G$35,'B1b '!$H$35,IF(AND(C127&lt;='B1b '!$G$34,C127&gt;'B1b '!$G$35),0+(('B1b '!$H$35-'B1b '!$H$34)/('B1b '!$G$35-'B1b '!$G$34))*(C127-'B1b '!$G$34),0))</f>
        <v>20.54054054054054</v>
      </c>
      <c r="E127" s="649"/>
      <c r="F127" s="585">
        <v>33</v>
      </c>
      <c r="G127" s="585">
        <f>IF(F127&lt;='B1b '!$G$37,'B1b '!$H$37,IF(AND(F127&lt;='B1b '!$G$36,F127&gt;'B1b '!$G$37),0+(('B1b '!$H$37-'B1b '!$H$36)/('B1b '!$G$37-'B1b '!$G$36))*(F127-'B1b '!$G$36),0))</f>
        <v>0</v>
      </c>
      <c r="H127" s="581"/>
      <c r="I127" s="585">
        <v>33</v>
      </c>
      <c r="J127" s="585">
        <f>IF(I127&lt;='B1b '!$G$39,'B1b '!$H$39,IF(AND(I127&lt;='B1b '!$G$38,I127&gt;'B1b '!$G$39),0+(('B1b '!$H$39-'B1b '!$H$38)/('B1b '!$G$39-'B1b '!$G$38))*(I127-'B1b '!$G$38),0))</f>
        <v>0</v>
      </c>
      <c r="K127" s="649"/>
      <c r="L127" s="585">
        <v>33</v>
      </c>
      <c r="M127" s="585">
        <f>IF(L127&lt;='B1b '!$G$41,'B1b '!$H$41,IF(AND(L127&lt;='B1b '!$G$40,L127&gt;'B1b '!$G$41),0+(('B1b '!$H$41-'B1b '!$H$40)/('B1b '!$G$41-'B1b '!$G$40))*(L127-'B1b '!$G$40),0))</f>
        <v>120</v>
      </c>
      <c r="N127" s="649"/>
      <c r="O127" s="585"/>
      <c r="P127" s="585"/>
      <c r="Q127" s="579"/>
    </row>
    <row r="128" spans="2:17">
      <c r="B128" s="579"/>
      <c r="C128" s="585">
        <v>34</v>
      </c>
      <c r="D128" s="585">
        <f>IF(C128&lt;='B1b '!$G$35,'B1b '!$H$35,IF(AND(C128&lt;='B1b '!$G$34,C128&gt;'B1b '!$G$35),0+(('B1b '!$H$35-'B1b '!$H$34)/('B1b '!$G$35-'B1b '!$G$34))*(C128-'B1b '!$G$34),0))</f>
        <v>19.45945945945946</v>
      </c>
      <c r="E128" s="649"/>
      <c r="F128" s="585">
        <v>34</v>
      </c>
      <c r="G128" s="585">
        <f>IF(F128&lt;='B1b '!$G$37,'B1b '!$H$37,IF(AND(F128&lt;='B1b '!$G$36,F128&gt;'B1b '!$G$37),0+(('B1b '!$H$37-'B1b '!$H$36)/('B1b '!$G$37-'B1b '!$G$36))*(F128-'B1b '!$G$36),0))</f>
        <v>0</v>
      </c>
      <c r="H128" s="581"/>
      <c r="I128" s="585">
        <v>34</v>
      </c>
      <c r="J128" s="585">
        <f>IF(I128&lt;='B1b '!$G$39,'B1b '!$H$39,IF(AND(I128&lt;='B1b '!$G$38,I128&gt;'B1b '!$G$39),0+(('B1b '!$H$39-'B1b '!$H$38)/('B1b '!$G$39-'B1b '!$G$38))*(I128-'B1b '!$G$38),0))</f>
        <v>0</v>
      </c>
      <c r="K128" s="649"/>
      <c r="L128" s="585">
        <v>34</v>
      </c>
      <c r="M128" s="585">
        <f>IF(L128&lt;='B1b '!$G$41,'B1b '!$H$41,IF(AND(L128&lt;='B1b '!$G$40,L128&gt;'B1b '!$G$41),0+(('B1b '!$H$41-'B1b '!$H$40)/('B1b '!$G$41-'B1b '!$G$40))*(L128-'B1b '!$G$40),0))</f>
        <v>120</v>
      </c>
      <c r="N128" s="649"/>
      <c r="O128" s="585"/>
      <c r="P128" s="585"/>
      <c r="Q128" s="579"/>
    </row>
    <row r="129" spans="2:17">
      <c r="B129" s="579"/>
      <c r="C129" s="585">
        <v>35</v>
      </c>
      <c r="D129" s="585">
        <f>IF(C129&lt;='B1b '!$G$35,'B1b '!$H$35,IF(AND(C129&lt;='B1b '!$G$34,C129&gt;'B1b '!$G$35),0+(('B1b '!$H$35-'B1b '!$H$34)/('B1b '!$G$35-'B1b '!$G$34))*(C129-'B1b '!$G$34),0))</f>
        <v>18.378378378378379</v>
      </c>
      <c r="E129" s="649"/>
      <c r="F129" s="585">
        <v>35</v>
      </c>
      <c r="G129" s="585">
        <f>IF(F129&lt;='B1b '!$G$37,'B1b '!$H$37,IF(AND(F129&lt;='B1b '!$G$36,F129&gt;'B1b '!$G$37),0+(('B1b '!$H$37-'B1b '!$H$36)/('B1b '!$G$37-'B1b '!$G$36))*(F129-'B1b '!$G$36),0))</f>
        <v>0</v>
      </c>
      <c r="H129" s="581"/>
      <c r="I129" s="585">
        <v>35</v>
      </c>
      <c r="J129" s="585">
        <f>IF(I129&lt;='B1b '!$G$39,'B1b '!$H$39,IF(AND(I129&lt;='B1b '!$G$38,I129&gt;'B1b '!$G$39),0+(('B1b '!$H$39-'B1b '!$H$38)/('B1b '!$G$39-'B1b '!$G$38))*(I129-'B1b '!$G$38),0))</f>
        <v>0</v>
      </c>
      <c r="K129" s="649"/>
      <c r="L129" s="585">
        <v>35</v>
      </c>
      <c r="M129" s="585">
        <f>IF(L129&lt;='B1b '!$G$41,'B1b '!$H$41,IF(AND(L129&lt;='B1b '!$G$40,L129&gt;'B1b '!$G$41),0+(('B1b '!$H$41-'B1b '!$H$40)/('B1b '!$G$41-'B1b '!$G$40))*(L129-'B1b '!$G$40),0))</f>
        <v>120</v>
      </c>
      <c r="N129" s="649"/>
      <c r="O129" s="585"/>
      <c r="P129" s="585"/>
      <c r="Q129" s="579"/>
    </row>
    <row r="130" spans="2:17">
      <c r="B130" s="579"/>
      <c r="C130" s="585">
        <v>36</v>
      </c>
      <c r="D130" s="585">
        <f>IF(C130&lt;='B1b '!$G$35,'B1b '!$H$35,IF(AND(C130&lt;='B1b '!$G$34,C130&gt;'B1b '!$G$35),0+(('B1b '!$H$35-'B1b '!$H$34)/('B1b '!$G$35-'B1b '!$G$34))*(C130-'B1b '!$G$34),0))</f>
        <v>17.297297297297298</v>
      </c>
      <c r="E130" s="649"/>
      <c r="F130" s="585"/>
      <c r="G130" s="585"/>
      <c r="H130" s="581"/>
      <c r="I130" s="585">
        <v>36</v>
      </c>
      <c r="J130" s="585">
        <f>IF(I130&lt;='B1b '!$G$39,'B1b '!$H$39,IF(AND(I130&lt;='B1b '!$G$38,I130&gt;'B1b '!$G$39),0+(('B1b '!$H$39-'B1b '!$H$38)/('B1b '!$G$39-'B1b '!$G$38))*(I130-'B1b '!$G$38),0))</f>
        <v>0</v>
      </c>
      <c r="K130" s="649"/>
      <c r="L130" s="585">
        <v>36</v>
      </c>
      <c r="M130" s="585">
        <f>IF(L130&lt;='B1b '!$G$41,'B1b '!$H$41,IF(AND(L130&lt;='B1b '!$G$40,L130&gt;'B1b '!$G$41),0+(('B1b '!$H$41-'B1b '!$H$40)/('B1b '!$G$41-'B1b '!$G$40))*(L130-'B1b '!$G$40),0))</f>
        <v>120</v>
      </c>
      <c r="N130" s="649"/>
      <c r="O130" s="585"/>
      <c r="P130" s="585"/>
      <c r="Q130" s="579"/>
    </row>
    <row r="131" spans="2:17">
      <c r="B131" s="579"/>
      <c r="C131" s="585">
        <v>37</v>
      </c>
      <c r="D131" s="585">
        <f>IF(C131&lt;='B1b '!$G$35,'B1b '!$H$35,IF(AND(C131&lt;='B1b '!$G$34,C131&gt;'B1b '!$G$35),0+(('B1b '!$H$35-'B1b '!$H$34)/('B1b '!$G$35-'B1b '!$G$34))*(C131-'B1b '!$G$34),0))</f>
        <v>16.216216216216218</v>
      </c>
      <c r="E131" s="649"/>
      <c r="F131" s="585"/>
      <c r="G131" s="585"/>
      <c r="H131" s="581"/>
      <c r="I131" s="585">
        <v>37</v>
      </c>
      <c r="J131" s="585">
        <f>IF(I131&lt;='B1b '!$G$39,'B1b '!$H$39,IF(AND(I131&lt;='B1b '!$G$38,I131&gt;'B1b '!$G$39),0+(('B1b '!$H$39-'B1b '!$H$38)/('B1b '!$G$39-'B1b '!$G$38))*(I131-'B1b '!$G$38),0))</f>
        <v>0</v>
      </c>
      <c r="K131" s="649"/>
      <c r="L131" s="585">
        <v>37</v>
      </c>
      <c r="M131" s="585">
        <f>IF(L131&lt;='B1b '!$G$41,'B1b '!$H$41,IF(AND(L131&lt;='B1b '!$G$40,L131&gt;'B1b '!$G$41),0+(('B1b '!$H$41-'B1b '!$H$40)/('B1b '!$G$41-'B1b '!$G$40))*(L131-'B1b '!$G$40),0))</f>
        <v>120</v>
      </c>
      <c r="N131" s="649"/>
      <c r="O131" s="585"/>
      <c r="P131" s="585"/>
      <c r="Q131" s="579"/>
    </row>
    <row r="132" spans="2:17">
      <c r="B132" s="579"/>
      <c r="C132" s="585">
        <v>38</v>
      </c>
      <c r="D132" s="585">
        <f>IF(C132&lt;='B1b '!$G$35,'B1b '!$H$35,IF(AND(C132&lt;='B1b '!$G$34,C132&gt;'B1b '!$G$35),0+(('B1b '!$H$35-'B1b '!$H$34)/('B1b '!$G$35-'B1b '!$G$34))*(C132-'B1b '!$G$34),0))</f>
        <v>15.135135135135137</v>
      </c>
      <c r="E132" s="649"/>
      <c r="F132" s="585"/>
      <c r="G132" s="585"/>
      <c r="H132" s="581"/>
      <c r="I132" s="585">
        <v>38</v>
      </c>
      <c r="J132" s="585">
        <f>IF(I132&lt;='B1b '!$G$39,'B1b '!$H$39,IF(AND(I132&lt;='B1b '!$G$38,I132&gt;'B1b '!$G$39),0+(('B1b '!$H$39-'B1b '!$H$38)/('B1b '!$G$39-'B1b '!$G$38))*(I132-'B1b '!$G$38),0))</f>
        <v>0</v>
      </c>
      <c r="K132" s="649"/>
      <c r="L132" s="585">
        <v>38</v>
      </c>
      <c r="M132" s="585">
        <f>IF(L132&lt;='B1b '!$G$41,'B1b '!$H$41,IF(AND(L132&lt;='B1b '!$G$40,L132&gt;'B1b '!$G$41),0+(('B1b '!$H$41-'B1b '!$H$40)/('B1b '!$G$41-'B1b '!$G$40))*(L132-'B1b '!$G$40),0))</f>
        <v>120</v>
      </c>
      <c r="N132" s="649"/>
      <c r="O132" s="585"/>
      <c r="P132" s="585"/>
      <c r="Q132" s="579"/>
    </row>
    <row r="133" spans="2:17">
      <c r="B133" s="579"/>
      <c r="C133" s="585">
        <v>39</v>
      </c>
      <c r="D133" s="585">
        <f>IF(C133&lt;='B1b '!$G$35,'B1b '!$H$35,IF(AND(C133&lt;='B1b '!$G$34,C133&gt;'B1b '!$G$35),0+(('B1b '!$H$35-'B1b '!$H$34)/('B1b '!$G$35-'B1b '!$G$34))*(C133-'B1b '!$G$34),0))</f>
        <v>14.054054054054054</v>
      </c>
      <c r="E133" s="649"/>
      <c r="F133" s="585"/>
      <c r="G133" s="585"/>
      <c r="H133" s="581"/>
      <c r="I133" s="585">
        <v>39</v>
      </c>
      <c r="J133" s="585">
        <f>IF(I133&lt;='B1b '!$G$39,'B1b '!$H$39,IF(AND(I133&lt;='B1b '!$G$38,I133&gt;'B1b '!$G$39),0+(('B1b '!$H$39-'B1b '!$H$38)/('B1b '!$G$39-'B1b '!$G$38))*(I133-'B1b '!$G$38),0))</f>
        <v>0</v>
      </c>
      <c r="K133" s="649"/>
      <c r="L133" s="585">
        <v>39</v>
      </c>
      <c r="M133" s="585">
        <f>IF(L133&lt;='B1b '!$G$41,'B1b '!$H$41,IF(AND(L133&lt;='B1b '!$G$40,L133&gt;'B1b '!$G$41),0+(('B1b '!$H$41-'B1b '!$H$40)/('B1b '!$G$41-'B1b '!$G$40))*(L133-'B1b '!$G$40),0))</f>
        <v>120</v>
      </c>
      <c r="N133" s="649"/>
      <c r="O133" s="585"/>
      <c r="P133" s="585"/>
      <c r="Q133" s="579"/>
    </row>
    <row r="134" spans="2:17">
      <c r="B134" s="579"/>
      <c r="C134" s="585">
        <v>40</v>
      </c>
      <c r="D134" s="585">
        <f>IF(C134&lt;='B1b '!$G$35,'B1b '!$H$35,IF(AND(C134&lt;='B1b '!$G$34,C134&gt;'B1b '!$G$35),0+(('B1b '!$H$35-'B1b '!$H$34)/('B1b '!$G$35-'B1b '!$G$34))*(C134-'B1b '!$G$34),0))</f>
        <v>12.972972972972974</v>
      </c>
      <c r="E134" s="649"/>
      <c r="F134" s="585"/>
      <c r="G134" s="585"/>
      <c r="H134" s="581"/>
      <c r="I134" s="585">
        <v>40</v>
      </c>
      <c r="J134" s="585">
        <f>IF(I134&lt;='B1b '!$G$39,'B1b '!$H$39,IF(AND(I134&lt;='B1b '!$G$38,I134&gt;'B1b '!$G$39),0+(('B1b '!$H$39-'B1b '!$H$38)/('B1b '!$G$39-'B1b '!$G$38))*(I134-'B1b '!$G$38),0))</f>
        <v>0</v>
      </c>
      <c r="K134" s="649"/>
      <c r="L134" s="585">
        <v>40</v>
      </c>
      <c r="M134" s="585">
        <f>IF(L134&lt;='B1b '!$G$41,'B1b '!$H$41,IF(AND(L134&lt;='B1b '!$G$40,L134&gt;'B1b '!$G$41),0+(('B1b '!$H$41-'B1b '!$H$40)/('B1b '!$G$41-'B1b '!$G$40))*(L134-'B1b '!$G$40),0))</f>
        <v>120</v>
      </c>
      <c r="N134" s="649"/>
      <c r="O134" s="585"/>
      <c r="P134" s="585"/>
      <c r="Q134" s="579"/>
    </row>
    <row r="135" spans="2:17">
      <c r="B135" s="579"/>
      <c r="C135" s="585">
        <v>41</v>
      </c>
      <c r="D135" s="585">
        <f>IF(C135&lt;='B1b '!$G$35,'B1b '!$H$35,IF(AND(C135&lt;='B1b '!$G$34,C135&gt;'B1b '!$G$35),0+(('B1b '!$H$35-'B1b '!$H$34)/('B1b '!$G$35-'B1b '!$G$34))*(C135-'B1b '!$G$34),0))</f>
        <v>11.891891891891893</v>
      </c>
      <c r="E135" s="649"/>
      <c r="F135" s="585"/>
      <c r="G135" s="585"/>
      <c r="H135" s="581"/>
      <c r="I135" s="585"/>
      <c r="J135" s="585"/>
      <c r="K135" s="649"/>
      <c r="L135" s="585">
        <v>41</v>
      </c>
      <c r="M135" s="585">
        <f>IF(L135&lt;='B1b '!$G$41,'B1b '!$H$41,IF(AND(L135&lt;='B1b '!$G$40,L135&gt;'B1b '!$G$41),0+(('B1b '!$H$41-'B1b '!$H$40)/('B1b '!$G$41-'B1b '!$G$40))*(L135-'B1b '!$G$40),0))</f>
        <v>120</v>
      </c>
      <c r="N135" s="649"/>
      <c r="O135" s="585"/>
      <c r="P135" s="585"/>
      <c r="Q135" s="579"/>
    </row>
    <row r="136" spans="2:17">
      <c r="B136" s="579"/>
      <c r="C136" s="585">
        <v>42</v>
      </c>
      <c r="D136" s="585">
        <f>IF(C136&lt;='B1b '!$G$35,'B1b '!$H$35,IF(AND(C136&lt;='B1b '!$G$34,C136&gt;'B1b '!$G$35),0+(('B1b '!$H$35-'B1b '!$H$34)/('B1b '!$G$35-'B1b '!$G$34))*(C136-'B1b '!$G$34),0))</f>
        <v>10.810810810810811</v>
      </c>
      <c r="E136" s="649"/>
      <c r="F136" s="585"/>
      <c r="G136" s="585"/>
      <c r="H136" s="581"/>
      <c r="I136" s="585"/>
      <c r="J136" s="585"/>
      <c r="K136" s="649"/>
      <c r="L136" s="585">
        <v>42</v>
      </c>
      <c r="M136" s="585">
        <f>IF(L136&lt;='B1b '!$G$41,'B1b '!$H$41,IF(AND(L136&lt;='B1b '!$G$40,L136&gt;'B1b '!$G$41),0+(('B1b '!$H$41-'B1b '!$H$40)/('B1b '!$G$41-'B1b '!$G$40))*(L136-'B1b '!$G$40),0))</f>
        <v>120</v>
      </c>
      <c r="N136" s="649"/>
      <c r="O136" s="585"/>
      <c r="P136" s="585"/>
      <c r="Q136" s="579"/>
    </row>
    <row r="137" spans="2:17">
      <c r="B137" s="579"/>
      <c r="C137" s="585">
        <v>43</v>
      </c>
      <c r="D137" s="585">
        <f>IF(C137&lt;='B1b '!$G$35,'B1b '!$H$35,IF(AND(C137&lt;='B1b '!$G$34,C137&gt;'B1b '!$G$35),0+(('B1b '!$H$35-'B1b '!$H$34)/('B1b '!$G$35-'B1b '!$G$34))*(C137-'B1b '!$G$34),0))</f>
        <v>9.7297297297297298</v>
      </c>
      <c r="E137" s="649"/>
      <c r="F137" s="585"/>
      <c r="G137" s="585"/>
      <c r="H137" s="581"/>
      <c r="I137" s="585"/>
      <c r="J137" s="585"/>
      <c r="K137" s="649"/>
      <c r="L137" s="585">
        <v>43</v>
      </c>
      <c r="M137" s="585">
        <f>IF(L137&lt;='B1b '!$G$41,'B1b '!$H$41,IF(AND(L137&lt;='B1b '!$G$40,L137&gt;'B1b '!$G$41),0+(('B1b '!$H$41-'B1b '!$H$40)/('B1b '!$G$41-'B1b '!$G$40))*(L137-'B1b '!$G$40),0))</f>
        <v>120</v>
      </c>
      <c r="N137" s="649"/>
      <c r="O137" s="585"/>
      <c r="P137" s="585"/>
      <c r="Q137" s="579"/>
    </row>
    <row r="138" spans="2:17">
      <c r="B138" s="579"/>
      <c r="C138" s="585">
        <v>44</v>
      </c>
      <c r="D138" s="585">
        <f>IF(C138&lt;='B1b '!$G$35,'B1b '!$H$35,IF(AND(C138&lt;='B1b '!$G$34,C138&gt;'B1b '!$G$35),0+(('B1b '!$H$35-'B1b '!$H$34)/('B1b '!$G$35-'B1b '!$G$34))*(C138-'B1b '!$G$34),0))</f>
        <v>8.6486486486486491</v>
      </c>
      <c r="E138" s="649"/>
      <c r="F138" s="585"/>
      <c r="G138" s="585"/>
      <c r="H138" s="581"/>
      <c r="I138" s="585"/>
      <c r="J138" s="585"/>
      <c r="K138" s="649"/>
      <c r="L138" s="585">
        <v>44</v>
      </c>
      <c r="M138" s="585">
        <f>IF(L138&lt;='B1b '!$G$41,'B1b '!$H$41,IF(AND(L138&lt;='B1b '!$G$40,L138&gt;'B1b '!$G$41),0+(('B1b '!$H$41-'B1b '!$H$40)/('B1b '!$G$41-'B1b '!$G$40))*(L138-'B1b '!$G$40),0))</f>
        <v>118.26086956521739</v>
      </c>
      <c r="N138" s="649"/>
      <c r="O138" s="585"/>
      <c r="P138" s="585"/>
      <c r="Q138" s="579"/>
    </row>
    <row r="139" spans="2:17">
      <c r="B139" s="579"/>
      <c r="C139" s="585">
        <v>45</v>
      </c>
      <c r="D139" s="585">
        <f>IF(C139&lt;='B1b '!$G$35,'B1b '!$H$35,IF(AND(C139&lt;='B1b '!$G$34,C139&gt;'B1b '!$G$35),0+(('B1b '!$H$35-'B1b '!$H$34)/('B1b '!$G$35-'B1b '!$G$34))*(C139-'B1b '!$G$34),0))</f>
        <v>7.5675675675675684</v>
      </c>
      <c r="E139" s="649"/>
      <c r="F139" s="585"/>
      <c r="G139" s="585"/>
      <c r="H139" s="581"/>
      <c r="I139" s="585"/>
      <c r="J139" s="585"/>
      <c r="K139" s="649"/>
      <c r="L139" s="585">
        <v>45</v>
      </c>
      <c r="M139" s="585">
        <f>IF(L139&lt;='B1b '!$G$41,'B1b '!$H$41,IF(AND(L139&lt;='B1b '!$G$40,L139&gt;'B1b '!$G$41),0+(('B1b '!$H$41-'B1b '!$H$40)/('B1b '!$G$41-'B1b '!$G$40))*(L139-'B1b '!$G$40),0))</f>
        <v>116.52173913043478</v>
      </c>
      <c r="N139" s="649"/>
      <c r="O139" s="585"/>
      <c r="P139" s="585"/>
      <c r="Q139" s="579"/>
    </row>
    <row r="140" spans="2:17">
      <c r="B140" s="579"/>
      <c r="C140" s="585">
        <v>46</v>
      </c>
      <c r="D140" s="585">
        <f>IF(C140&lt;='B1b '!$G$35,'B1b '!$H$35,IF(AND(C140&lt;='B1b '!$G$34,C140&gt;'B1b '!$G$35),0+(('B1b '!$H$35-'B1b '!$H$34)/('B1b '!$G$35-'B1b '!$G$34))*(C140-'B1b '!$G$34),0))</f>
        <v>6.4864864864864868</v>
      </c>
      <c r="E140" s="649"/>
      <c r="F140" s="585"/>
      <c r="G140" s="585"/>
      <c r="H140" s="581"/>
      <c r="I140" s="585"/>
      <c r="J140" s="585"/>
      <c r="K140" s="649"/>
      <c r="L140" s="585">
        <v>46</v>
      </c>
      <c r="M140" s="585">
        <f>IF(L140&lt;='B1b '!$G$41,'B1b '!$H$41,IF(AND(L140&lt;='B1b '!$G$40,L140&gt;'B1b '!$G$41),0+(('B1b '!$H$41-'B1b '!$H$40)/('B1b '!$G$41-'B1b '!$G$40))*(L140-'B1b '!$G$40),0))</f>
        <v>114.78260869565217</v>
      </c>
      <c r="N140" s="649"/>
      <c r="O140" s="585"/>
      <c r="P140" s="585"/>
      <c r="Q140" s="579"/>
    </row>
    <row r="141" spans="2:17">
      <c r="B141" s="579"/>
      <c r="C141" s="585">
        <v>47</v>
      </c>
      <c r="D141" s="585">
        <f>IF(C141&lt;='B1b '!$G$35,'B1b '!$H$35,IF(AND(C141&lt;='B1b '!$G$34,C141&gt;'B1b '!$G$35),0+(('B1b '!$H$35-'B1b '!$H$34)/('B1b '!$G$35-'B1b '!$G$34))*(C141-'B1b '!$G$34),0))</f>
        <v>5.4054054054054053</v>
      </c>
      <c r="E141" s="649"/>
      <c r="F141" s="585"/>
      <c r="G141" s="585"/>
      <c r="H141" s="581"/>
      <c r="I141" s="585"/>
      <c r="J141" s="585"/>
      <c r="K141" s="649"/>
      <c r="L141" s="585">
        <v>47</v>
      </c>
      <c r="M141" s="585">
        <f>IF(L141&lt;='B1b '!$G$41,'B1b '!$H$41,IF(AND(L141&lt;='B1b '!$G$40,L141&gt;'B1b '!$G$41),0+(('B1b '!$H$41-'B1b '!$H$40)/('B1b '!$G$41-'B1b '!$G$40))*(L141-'B1b '!$G$40),0))</f>
        <v>113.04347826086956</v>
      </c>
      <c r="N141" s="649"/>
      <c r="O141" s="585"/>
      <c r="P141" s="585"/>
      <c r="Q141" s="579"/>
    </row>
    <row r="142" spans="2:17">
      <c r="B142" s="579"/>
      <c r="C142" s="585">
        <v>48</v>
      </c>
      <c r="D142" s="585">
        <f>IF(C142&lt;='B1b '!$G$35,'B1b '!$H$35,IF(AND(C142&lt;='B1b '!$G$34,C142&gt;'B1b '!$G$35),0+(('B1b '!$H$35-'B1b '!$H$34)/('B1b '!$G$35-'B1b '!$G$34))*(C142-'B1b '!$G$34),0))</f>
        <v>4.3243243243243246</v>
      </c>
      <c r="E142" s="649"/>
      <c r="F142" s="585"/>
      <c r="G142" s="585"/>
      <c r="H142" s="581"/>
      <c r="I142" s="585"/>
      <c r="J142" s="585"/>
      <c r="K142" s="649"/>
      <c r="L142" s="585">
        <v>48</v>
      </c>
      <c r="M142" s="585">
        <f>IF(L142&lt;='B1b '!$G$41,'B1b '!$H$41,IF(AND(L142&lt;='B1b '!$G$40,L142&gt;'B1b '!$G$41),0+(('B1b '!$H$41-'B1b '!$H$40)/('B1b '!$G$41-'B1b '!$G$40))*(L142-'B1b '!$G$40),0))</f>
        <v>111.30434782608695</v>
      </c>
      <c r="N142" s="649"/>
      <c r="O142" s="585"/>
      <c r="P142" s="585"/>
      <c r="Q142" s="579"/>
    </row>
    <row r="143" spans="2:17">
      <c r="B143" s="579"/>
      <c r="C143" s="585">
        <v>49</v>
      </c>
      <c r="D143" s="585">
        <f>IF(C143&lt;='B1b '!$G$35,'B1b '!$H$35,IF(AND(C143&lt;='B1b '!$G$34,C143&gt;'B1b '!$G$35),0+(('B1b '!$H$35-'B1b '!$H$34)/('B1b '!$G$35-'B1b '!$G$34))*(C143-'B1b '!$G$34),0))</f>
        <v>3.2432432432432434</v>
      </c>
      <c r="E143" s="649"/>
      <c r="F143" s="585"/>
      <c r="G143" s="585"/>
      <c r="H143" s="581"/>
      <c r="I143" s="585"/>
      <c r="J143" s="585"/>
      <c r="K143" s="649"/>
      <c r="L143" s="585">
        <v>49</v>
      </c>
      <c r="M143" s="585">
        <f>IF(L143&lt;='B1b '!$G$41,'B1b '!$H$41,IF(AND(L143&lt;='B1b '!$G$40,L143&gt;'B1b '!$G$41),0+(('B1b '!$H$41-'B1b '!$H$40)/('B1b '!$G$41-'B1b '!$G$40))*(L143-'B1b '!$G$40),0))</f>
        <v>109.56521739130434</v>
      </c>
      <c r="N143" s="649"/>
      <c r="O143" s="585"/>
      <c r="P143" s="585"/>
      <c r="Q143" s="579"/>
    </row>
    <row r="144" spans="2:17">
      <c r="B144" s="579"/>
      <c r="C144" s="585">
        <v>50</v>
      </c>
      <c r="D144" s="585">
        <f>IF(C144&lt;='B1b '!$G$35,'B1b '!$H$35,IF(AND(C144&lt;='B1b '!$G$34,C144&gt;'B1b '!$G$35),0+(('B1b '!$H$35-'B1b '!$H$34)/('B1b '!$G$35-'B1b '!$G$34))*(C144-'B1b '!$G$34),0))</f>
        <v>2.1621621621621623</v>
      </c>
      <c r="E144" s="649"/>
      <c r="F144" s="585"/>
      <c r="G144" s="585"/>
      <c r="H144" s="581"/>
      <c r="I144" s="585"/>
      <c r="J144" s="585"/>
      <c r="K144" s="649"/>
      <c r="L144" s="585">
        <v>50</v>
      </c>
      <c r="M144" s="585">
        <f>IF(L144&lt;='B1b '!$G$41,'B1b '!$H$41,IF(AND(L144&lt;='B1b '!$G$40,L144&gt;'B1b '!$G$41),0+(('B1b '!$H$41-'B1b '!$H$40)/('B1b '!$G$41-'B1b '!$G$40))*(L144-'B1b '!$G$40),0))</f>
        <v>107.82608695652173</v>
      </c>
      <c r="N144" s="649"/>
      <c r="O144" s="585"/>
      <c r="P144" s="585"/>
      <c r="Q144" s="579"/>
    </row>
    <row r="145" spans="2:17">
      <c r="B145" s="579"/>
      <c r="C145" s="585">
        <v>51</v>
      </c>
      <c r="D145" s="585">
        <f>IF(C145&lt;='B1b '!$G$35,'B1b '!$H$35,IF(AND(C145&lt;='B1b '!$G$34,C145&gt;'B1b '!$G$35),0+(('B1b '!$H$35-'B1b '!$H$34)/('B1b '!$G$35-'B1b '!$G$34))*(C145-'B1b '!$G$34),0))</f>
        <v>1.0810810810810811</v>
      </c>
      <c r="E145" s="649"/>
      <c r="F145" s="585"/>
      <c r="G145" s="585"/>
      <c r="H145" s="581"/>
      <c r="I145" s="585"/>
      <c r="J145" s="585"/>
      <c r="K145" s="649"/>
      <c r="L145" s="585">
        <v>51</v>
      </c>
      <c r="M145" s="585">
        <f>IF(L145&lt;='B1b '!$G$41,'B1b '!$H$41,IF(AND(L145&lt;='B1b '!$G$40,L145&gt;'B1b '!$G$41),0+(('B1b '!$H$41-'B1b '!$H$40)/('B1b '!$G$41-'B1b '!$G$40))*(L145-'B1b '!$G$40),0))</f>
        <v>106.08695652173913</v>
      </c>
      <c r="N145" s="649"/>
      <c r="O145" s="585"/>
      <c r="P145" s="585"/>
      <c r="Q145" s="579"/>
    </row>
    <row r="146" spans="2:17">
      <c r="B146" s="579"/>
      <c r="C146" s="585">
        <v>52</v>
      </c>
      <c r="D146" s="585">
        <f>IF(C146&lt;='B1b '!$G$35,'B1b '!$H$35,IF(AND(C146&lt;='B1b '!$G$34,C146&gt;'B1b '!$G$35),0+(('B1b '!$H$35-'B1b '!$H$34)/('B1b '!$G$35-'B1b '!$G$34))*(C146-'B1b '!$G$34),0))</f>
        <v>0</v>
      </c>
      <c r="E146" s="649"/>
      <c r="F146" s="585"/>
      <c r="G146" s="585"/>
      <c r="H146" s="581"/>
      <c r="I146" s="585"/>
      <c r="J146" s="585"/>
      <c r="K146" s="649"/>
      <c r="L146" s="585">
        <v>52</v>
      </c>
      <c r="M146" s="585">
        <f>IF(L146&lt;='B1b '!$G$41,'B1b '!$H$41,IF(AND(L146&lt;='B1b '!$G$40,L146&gt;'B1b '!$G$41),0+(('B1b '!$H$41-'B1b '!$H$40)/('B1b '!$G$41-'B1b '!$G$40))*(L146-'B1b '!$G$40),0))</f>
        <v>104.34782608695652</v>
      </c>
      <c r="N146" s="649"/>
      <c r="O146" s="585"/>
      <c r="P146" s="585"/>
      <c r="Q146" s="579"/>
    </row>
    <row r="147" spans="2:17">
      <c r="B147" s="579"/>
      <c r="C147" s="585">
        <v>53</v>
      </c>
      <c r="D147" s="585">
        <f>IF(C147&lt;='B1b '!$G$35,'B1b '!$H$35,IF(AND(C147&lt;='B1b '!$G$34,C147&gt;'B1b '!$G$35),0+(('B1b '!$H$35-'B1b '!$H$34)/('B1b '!$G$35-'B1b '!$G$34))*(C147-'B1b '!$G$34),0))</f>
        <v>0</v>
      </c>
      <c r="E147" s="649"/>
      <c r="F147" s="585"/>
      <c r="G147" s="585"/>
      <c r="H147" s="581"/>
      <c r="I147" s="585"/>
      <c r="J147" s="585"/>
      <c r="K147" s="649"/>
      <c r="L147" s="585">
        <v>53</v>
      </c>
      <c r="M147" s="585">
        <f>IF(L147&lt;='B1b '!$G$41,'B1b '!$H$41,IF(AND(L147&lt;='B1b '!$G$40,L147&gt;'B1b '!$G$41),0+(('B1b '!$H$41-'B1b '!$H$40)/('B1b '!$G$41-'B1b '!$G$40))*(L147-'B1b '!$G$40),0))</f>
        <v>102.60869565217391</v>
      </c>
      <c r="N147" s="649"/>
      <c r="O147" s="585"/>
      <c r="P147" s="585"/>
      <c r="Q147" s="579"/>
    </row>
    <row r="148" spans="2:17">
      <c r="B148" s="579"/>
      <c r="C148" s="585">
        <v>54</v>
      </c>
      <c r="D148" s="585">
        <f>IF(C148&lt;='B1b '!$G$35,'B1b '!$H$35,IF(AND(C148&lt;='B1b '!$G$34,C148&gt;'B1b '!$G$35),0+(('B1b '!$H$35-'B1b '!$H$34)/('B1b '!$G$35-'B1b '!$G$34))*(C148-'B1b '!$G$34),0))</f>
        <v>0</v>
      </c>
      <c r="E148" s="649"/>
      <c r="F148" s="585"/>
      <c r="G148" s="585"/>
      <c r="H148" s="581"/>
      <c r="I148" s="585"/>
      <c r="J148" s="585"/>
      <c r="K148" s="649"/>
      <c r="L148" s="585">
        <v>54</v>
      </c>
      <c r="M148" s="585">
        <f>IF(L148&lt;='B1b '!$G$41,'B1b '!$H$41,IF(AND(L148&lt;='B1b '!$G$40,L148&gt;'B1b '!$G$41),0+(('B1b '!$H$41-'B1b '!$H$40)/('B1b '!$G$41-'B1b '!$G$40))*(L148-'B1b '!$G$40),0))</f>
        <v>100.8695652173913</v>
      </c>
      <c r="N148" s="649"/>
      <c r="O148" s="585"/>
      <c r="P148" s="585"/>
      <c r="Q148" s="579"/>
    </row>
    <row r="149" spans="2:17">
      <c r="B149" s="579"/>
      <c r="C149" s="585">
        <v>55</v>
      </c>
      <c r="D149" s="585">
        <f>IF(C149&lt;='B1b '!$G$35,'B1b '!$H$35,IF(AND(C149&lt;='B1b '!$G$34,C149&gt;'B1b '!$G$35),0+(('B1b '!$H$35-'B1b '!$H$34)/('B1b '!$G$35-'B1b '!$G$34))*(C149-'B1b '!$G$34),0))</f>
        <v>0</v>
      </c>
      <c r="E149" s="649"/>
      <c r="F149" s="585"/>
      <c r="G149" s="585"/>
      <c r="H149" s="581"/>
      <c r="I149" s="585"/>
      <c r="J149" s="585"/>
      <c r="K149" s="649"/>
      <c r="L149" s="585">
        <v>55</v>
      </c>
      <c r="M149" s="585">
        <f>IF(L149&lt;='B1b '!$G$41,'B1b '!$H$41,IF(AND(L149&lt;='B1b '!$G$40,L149&gt;'B1b '!$G$41),0+(('B1b '!$H$41-'B1b '!$H$40)/('B1b '!$G$41-'B1b '!$G$40))*(L149-'B1b '!$G$40),0))</f>
        <v>99.130434782608688</v>
      </c>
      <c r="N149" s="649"/>
      <c r="O149" s="585"/>
      <c r="P149" s="585"/>
      <c r="Q149" s="579"/>
    </row>
    <row r="150" spans="2:17">
      <c r="B150" s="579"/>
      <c r="C150" s="585">
        <v>56</v>
      </c>
      <c r="D150" s="585">
        <f>IF(C150&lt;='B1b '!$G$35,'B1b '!$H$35,IF(AND(C150&lt;='B1b '!$G$34,C150&gt;'B1b '!$G$35),0+(('B1b '!$H$35-'B1b '!$H$34)/('B1b '!$G$35-'B1b '!$G$34))*(C150-'B1b '!$G$34),0))</f>
        <v>0</v>
      </c>
      <c r="E150" s="649"/>
      <c r="F150" s="585"/>
      <c r="G150" s="585"/>
      <c r="H150" s="581"/>
      <c r="I150" s="585"/>
      <c r="J150" s="585"/>
      <c r="K150" s="649"/>
      <c r="L150" s="585">
        <v>56</v>
      </c>
      <c r="M150" s="585">
        <f>IF(L150&lt;='B1b '!$G$41,'B1b '!$H$41,IF(AND(L150&lt;='B1b '!$G$40,L150&gt;'B1b '!$G$41),0+(('B1b '!$H$41-'B1b '!$H$40)/('B1b '!$G$41-'B1b '!$G$40))*(L150-'B1b '!$G$40),0))</f>
        <v>97.391304347826079</v>
      </c>
      <c r="N150" s="649"/>
      <c r="O150" s="585"/>
      <c r="P150" s="585"/>
      <c r="Q150" s="579"/>
    </row>
    <row r="151" spans="2:17">
      <c r="B151" s="579"/>
      <c r="C151" s="585">
        <v>57</v>
      </c>
      <c r="D151" s="585">
        <f>IF(C151&lt;='B1b '!$G$35,'B1b '!$H$35,IF(AND(C151&lt;='B1b '!$G$34,C151&gt;'B1b '!$G$35),0+(('B1b '!$H$35-'B1b '!$H$34)/('B1b '!$G$35-'B1b '!$G$34))*(C151-'B1b '!$G$34),0))</f>
        <v>0</v>
      </c>
      <c r="E151" s="649"/>
      <c r="F151" s="585"/>
      <c r="G151" s="585"/>
      <c r="H151" s="581"/>
      <c r="I151" s="585"/>
      <c r="J151" s="585"/>
      <c r="K151" s="649"/>
      <c r="L151" s="585">
        <v>57</v>
      </c>
      <c r="M151" s="585">
        <f>IF(L151&lt;='B1b '!$G$41,'B1b '!$H$41,IF(AND(L151&lt;='B1b '!$G$40,L151&gt;'B1b '!$G$41),0+(('B1b '!$H$41-'B1b '!$H$40)/('B1b '!$G$41-'B1b '!$G$40))*(L151-'B1b '!$G$40),0))</f>
        <v>95.65217391304347</v>
      </c>
      <c r="N151" s="649"/>
      <c r="O151" s="585"/>
      <c r="P151" s="585"/>
      <c r="Q151" s="579"/>
    </row>
    <row r="152" spans="2:17">
      <c r="B152" s="579"/>
      <c r="C152" s="585">
        <v>58</v>
      </c>
      <c r="D152" s="585">
        <f>IF(C152&lt;='B1b '!$G$35,'B1b '!$H$35,IF(AND(C152&lt;='B1b '!$G$34,C152&gt;'B1b '!$G$35),0+(('B1b '!$H$35-'B1b '!$H$34)/('B1b '!$G$35-'B1b '!$G$34))*(C152-'B1b '!$G$34),0))</f>
        <v>0</v>
      </c>
      <c r="E152" s="649"/>
      <c r="F152" s="585"/>
      <c r="G152" s="585"/>
      <c r="H152" s="581"/>
      <c r="I152" s="585"/>
      <c r="J152" s="585"/>
      <c r="K152" s="649"/>
      <c r="L152" s="585">
        <v>58</v>
      </c>
      <c r="M152" s="585">
        <f>IF(L152&lt;='B1b '!$G$41,'B1b '!$H$41,IF(AND(L152&lt;='B1b '!$G$40,L152&gt;'B1b '!$G$41),0+(('B1b '!$H$41-'B1b '!$H$40)/('B1b '!$G$41-'B1b '!$G$40))*(L152-'B1b '!$G$40),0))</f>
        <v>93.91304347826086</v>
      </c>
      <c r="N152" s="649"/>
      <c r="O152" s="585"/>
      <c r="P152" s="585"/>
      <c r="Q152" s="579"/>
    </row>
    <row r="153" spans="2:17">
      <c r="B153" s="579"/>
      <c r="C153" s="585">
        <v>59</v>
      </c>
      <c r="D153" s="585">
        <f>IF(C153&lt;='B1b '!$G$35,'B1b '!$H$35,IF(AND(C153&lt;='B1b '!$G$34,C153&gt;'B1b '!$G$35),0+(('B1b '!$H$35-'B1b '!$H$34)/('B1b '!$G$35-'B1b '!$G$34))*(C153-'B1b '!$G$34),0))</f>
        <v>0</v>
      </c>
      <c r="E153" s="649"/>
      <c r="F153" s="585"/>
      <c r="G153" s="585"/>
      <c r="H153" s="581"/>
      <c r="I153" s="585"/>
      <c r="J153" s="585"/>
      <c r="K153" s="649"/>
      <c r="L153" s="585">
        <v>59</v>
      </c>
      <c r="M153" s="585">
        <f>IF(L153&lt;='B1b '!$G$41,'B1b '!$H$41,IF(AND(L153&lt;='B1b '!$G$40,L153&gt;'B1b '!$G$41),0+(('B1b '!$H$41-'B1b '!$H$40)/('B1b '!$G$41-'B1b '!$G$40))*(L153-'B1b '!$G$40),0))</f>
        <v>92.173913043478265</v>
      </c>
      <c r="N153" s="649"/>
      <c r="O153" s="585"/>
      <c r="P153" s="585"/>
      <c r="Q153" s="579"/>
    </row>
    <row r="154" spans="2:17">
      <c r="B154" s="579"/>
      <c r="C154" s="585">
        <v>60</v>
      </c>
      <c r="D154" s="585">
        <f>IF(C154&lt;='B1b '!$G$35,'B1b '!$H$35,IF(AND(C154&lt;='B1b '!$G$34,C154&gt;'B1b '!$G$35),0+(('B1b '!$H$35-'B1b '!$H$34)/('B1b '!$G$35-'B1b '!$G$34))*(C154-'B1b '!$G$34),0))</f>
        <v>0</v>
      </c>
      <c r="E154" s="649"/>
      <c r="F154" s="585"/>
      <c r="G154" s="585"/>
      <c r="H154" s="581"/>
      <c r="I154" s="585"/>
      <c r="J154" s="585"/>
      <c r="K154" s="649"/>
      <c r="L154" s="585">
        <v>60</v>
      </c>
      <c r="M154" s="585">
        <f>IF(L154&lt;='B1b '!$G$41,'B1b '!$H$41,IF(AND(L154&lt;='B1b '!$G$40,L154&gt;'B1b '!$G$41),0+(('B1b '!$H$41-'B1b '!$H$40)/('B1b '!$G$41-'B1b '!$G$40))*(L154-'B1b '!$G$40),0))</f>
        <v>90.434782608695656</v>
      </c>
      <c r="N154" s="649"/>
      <c r="O154" s="585"/>
      <c r="P154" s="585"/>
      <c r="Q154" s="579"/>
    </row>
    <row r="155" spans="2:17">
      <c r="B155" s="579"/>
      <c r="C155" s="585">
        <v>61</v>
      </c>
      <c r="D155" s="585">
        <f>IF(C155&lt;='B1b '!$G$35,'B1b '!$H$35,IF(AND(C155&lt;='B1b '!$G$34,C155&gt;'B1b '!$G$35),0+(('B1b '!$H$35-'B1b '!$H$34)/('B1b '!$G$35-'B1b '!$G$34))*(C155-'B1b '!$G$34),0))</f>
        <v>0</v>
      </c>
      <c r="E155" s="649"/>
      <c r="F155" s="585"/>
      <c r="G155" s="585"/>
      <c r="H155" s="581"/>
      <c r="I155" s="585"/>
      <c r="J155" s="585"/>
      <c r="K155" s="649"/>
      <c r="L155" s="585">
        <v>61</v>
      </c>
      <c r="M155" s="585">
        <f>IF(L155&lt;='B1b '!$G$41,'B1b '!$H$41,IF(AND(L155&lt;='B1b '!$G$40,L155&gt;'B1b '!$G$41),0+(('B1b '!$H$41-'B1b '!$H$40)/('B1b '!$G$41-'B1b '!$G$40))*(L155-'B1b '!$G$40),0))</f>
        <v>88.695652173913047</v>
      </c>
      <c r="N155" s="649"/>
      <c r="O155" s="585"/>
      <c r="P155" s="585"/>
      <c r="Q155" s="579"/>
    </row>
    <row r="156" spans="2:17">
      <c r="B156" s="579"/>
      <c r="C156" s="585">
        <v>62</v>
      </c>
      <c r="D156" s="585">
        <f>IF(C156&lt;='B1b '!$G$35,'B1b '!$H$35,IF(AND(C156&lt;='B1b '!$G$34,C156&gt;'B1b '!$G$35),0+(('B1b '!$H$35-'B1b '!$H$34)/('B1b '!$G$35-'B1b '!$G$34))*(C156-'B1b '!$G$34),0))</f>
        <v>0</v>
      </c>
      <c r="E156" s="581"/>
      <c r="F156" s="585"/>
      <c r="G156" s="585"/>
      <c r="H156" s="581"/>
      <c r="I156" s="585"/>
      <c r="J156" s="585"/>
      <c r="K156" s="581"/>
      <c r="L156" s="585">
        <v>62</v>
      </c>
      <c r="M156" s="585">
        <f>IF(L156&lt;='B1b '!$G$41,'B1b '!$H$41,IF(AND(L156&lt;='B1b '!$G$40,L156&gt;'B1b '!$G$41),0+(('B1b '!$H$41-'B1b '!$H$40)/('B1b '!$G$41-'B1b '!$G$40))*(L156-'B1b '!$G$40),0))</f>
        <v>86.956521739130437</v>
      </c>
      <c r="N156" s="581"/>
      <c r="O156" s="585"/>
      <c r="P156" s="585"/>
      <c r="Q156" s="579"/>
    </row>
    <row r="157" spans="2:17">
      <c r="B157" s="579"/>
      <c r="C157" s="585">
        <v>63</v>
      </c>
      <c r="D157" s="585">
        <f>IF(C157&lt;='B1b '!$G$35,'B1b '!$H$35,IF(AND(C157&lt;='B1b '!$G$34,C157&gt;'B1b '!$G$35),0+(('B1b '!$H$35-'B1b '!$H$34)/('B1b '!$G$35-'B1b '!$G$34))*(C157-'B1b '!$G$34),0))</f>
        <v>0</v>
      </c>
      <c r="E157" s="581"/>
      <c r="F157" s="585"/>
      <c r="G157" s="585"/>
      <c r="H157" s="581"/>
      <c r="I157" s="585"/>
      <c r="J157" s="585"/>
      <c r="K157" s="581"/>
      <c r="L157" s="585">
        <v>63</v>
      </c>
      <c r="M157" s="585">
        <f>IF(L157&lt;='B1b '!$G$41,'B1b '!$H$41,IF(AND(L157&lt;='B1b '!$G$40,L157&gt;'B1b '!$G$41),0+(('B1b '!$H$41-'B1b '!$H$40)/('B1b '!$G$41-'B1b '!$G$40))*(L157-'B1b '!$G$40),0))</f>
        <v>85.217391304347828</v>
      </c>
      <c r="N157" s="581"/>
      <c r="O157" s="585"/>
      <c r="P157" s="585"/>
      <c r="Q157" s="579"/>
    </row>
    <row r="158" spans="2:17">
      <c r="B158" s="579"/>
      <c r="C158" s="585">
        <v>64</v>
      </c>
      <c r="D158" s="585">
        <f>IF(C158&lt;='B1b '!$G$35,'B1b '!$H$35,IF(AND(C158&lt;='B1b '!$G$34,C158&gt;'B1b '!$G$35),0+(('B1b '!$H$35-'B1b '!$H$34)/('B1b '!$G$35-'B1b '!$G$34))*(C158-'B1b '!$G$34),0))</f>
        <v>0</v>
      </c>
      <c r="E158" s="581"/>
      <c r="F158" s="585"/>
      <c r="G158" s="585"/>
      <c r="H158" s="581"/>
      <c r="I158" s="585"/>
      <c r="J158" s="585"/>
      <c r="K158" s="581"/>
      <c r="L158" s="585">
        <v>64</v>
      </c>
      <c r="M158" s="585">
        <f>IF(L158&lt;='B1b '!$G$41,'B1b '!$H$41,IF(AND(L158&lt;='B1b '!$G$40,L158&gt;'B1b '!$G$41),0+(('B1b '!$H$41-'B1b '!$H$40)/('B1b '!$G$41-'B1b '!$G$40))*(L158-'B1b '!$G$40),0))</f>
        <v>83.478260869565219</v>
      </c>
      <c r="N158" s="581"/>
      <c r="O158" s="585"/>
      <c r="P158" s="585"/>
      <c r="Q158" s="579"/>
    </row>
    <row r="159" spans="2:17">
      <c r="B159" s="579"/>
      <c r="C159" s="585">
        <v>65</v>
      </c>
      <c r="D159" s="585">
        <f>IF(C159&lt;='B1b '!$G$35,'B1b '!$H$35,IF(AND(C159&lt;='B1b '!$G$34,C159&gt;'B1b '!$G$35),0+(('B1b '!$H$35-'B1b '!$H$34)/('B1b '!$G$35-'B1b '!$G$34))*(C159-'B1b '!$G$34),0))</f>
        <v>0</v>
      </c>
      <c r="E159" s="581"/>
      <c r="F159" s="585"/>
      <c r="G159" s="585"/>
      <c r="H159" s="581"/>
      <c r="I159" s="585"/>
      <c r="J159" s="585"/>
      <c r="K159" s="581"/>
      <c r="L159" s="585">
        <v>65</v>
      </c>
      <c r="M159" s="585">
        <f>IF(L159&lt;='B1b '!$G$41,'B1b '!$H$41,IF(AND(L159&lt;='B1b '!$G$40,L159&gt;'B1b '!$G$41),0+(('B1b '!$H$41-'B1b '!$H$40)/('B1b '!$G$41-'B1b '!$G$40))*(L159-'B1b '!$G$40),0))</f>
        <v>81.739130434782609</v>
      </c>
      <c r="N159" s="581"/>
      <c r="O159" s="585"/>
      <c r="P159" s="585"/>
      <c r="Q159" s="579"/>
    </row>
    <row r="160" spans="2:17">
      <c r="B160" s="579"/>
      <c r="C160" s="585">
        <v>66</v>
      </c>
      <c r="D160" s="585">
        <f>IF(C160&lt;='B1b '!$G$35,'B1b '!$H$35,IF(AND(C160&lt;='B1b '!$G$34,C160&gt;'B1b '!$G$35),0+(('B1b '!$H$35-'B1b '!$H$34)/('B1b '!$G$35-'B1b '!$G$34))*(C160-'B1b '!$G$34),0))</f>
        <v>0</v>
      </c>
      <c r="E160" s="581"/>
      <c r="F160" s="585"/>
      <c r="G160" s="585"/>
      <c r="H160" s="581"/>
      <c r="I160" s="585"/>
      <c r="J160" s="585"/>
      <c r="K160" s="581"/>
      <c r="L160" s="585">
        <v>66</v>
      </c>
      <c r="M160" s="585">
        <f>IF(L160&lt;='B1b '!$G$41,'B1b '!$H$41,IF(AND(L160&lt;='B1b '!$G$40,L160&gt;'B1b '!$G$41),0+(('B1b '!$H$41-'B1b '!$H$40)/('B1b '!$G$41-'B1b '!$G$40))*(L160-'B1b '!$G$40),0))</f>
        <v>80</v>
      </c>
      <c r="N160" s="581"/>
      <c r="O160" s="585"/>
      <c r="P160" s="585"/>
      <c r="Q160" s="579"/>
    </row>
    <row r="161" spans="2:17">
      <c r="B161" s="579"/>
      <c r="C161" s="585">
        <v>67</v>
      </c>
      <c r="D161" s="585">
        <f>IF(C161&lt;='B1b '!$G$35,'B1b '!$H$35,IF(AND(C161&lt;='B1b '!$G$34,C161&gt;'B1b '!$G$35),0+(('B1b '!$H$35-'B1b '!$H$34)/('B1b '!$G$35-'B1b '!$G$34))*(C161-'B1b '!$G$34),0))</f>
        <v>0</v>
      </c>
      <c r="E161" s="581"/>
      <c r="F161" s="585"/>
      <c r="G161" s="585"/>
      <c r="H161" s="581"/>
      <c r="I161" s="585"/>
      <c r="J161" s="585"/>
      <c r="K161" s="581"/>
      <c r="L161" s="585">
        <v>67</v>
      </c>
      <c r="M161" s="585">
        <f>IF(L161&lt;='B1b '!$G$41,'B1b '!$H$41,IF(AND(L161&lt;='B1b '!$G$40,L161&gt;'B1b '!$G$41),0+(('B1b '!$H$41-'B1b '!$H$40)/('B1b '!$G$41-'B1b '!$G$40))*(L161-'B1b '!$G$40),0))</f>
        <v>78.260869565217391</v>
      </c>
      <c r="N161" s="581"/>
      <c r="O161" s="585"/>
      <c r="P161" s="585"/>
      <c r="Q161" s="579"/>
    </row>
    <row r="162" spans="2:17">
      <c r="B162" s="579"/>
      <c r="C162" s="585">
        <v>68</v>
      </c>
      <c r="D162" s="585">
        <f>IF(C162&lt;='B1b '!$G$35,'B1b '!$H$35,IF(AND(C162&lt;='B1b '!$G$34,C162&gt;'B1b '!$G$35),0+(('B1b '!$H$35-'B1b '!$H$34)/('B1b '!$G$35-'B1b '!$G$34))*(C162-'B1b '!$G$34),0))</f>
        <v>0</v>
      </c>
      <c r="E162" s="581"/>
      <c r="F162" s="585"/>
      <c r="G162" s="585"/>
      <c r="H162" s="581"/>
      <c r="I162" s="585"/>
      <c r="J162" s="585"/>
      <c r="K162" s="581"/>
      <c r="L162" s="585">
        <v>68</v>
      </c>
      <c r="M162" s="585">
        <f>IF(L162&lt;='B1b '!$G$41,'B1b '!$H$41,IF(AND(L162&lt;='B1b '!$G$40,L162&gt;'B1b '!$G$41),0+(('B1b '!$H$41-'B1b '!$H$40)/('B1b '!$G$41-'B1b '!$G$40))*(L162-'B1b '!$G$40),0))</f>
        <v>76.521739130434781</v>
      </c>
      <c r="N162" s="581"/>
      <c r="O162" s="585"/>
      <c r="P162" s="585"/>
      <c r="Q162" s="579"/>
    </row>
    <row r="163" spans="2:17">
      <c r="B163" s="579"/>
      <c r="C163" s="585">
        <v>69</v>
      </c>
      <c r="D163" s="585">
        <f>IF(C163&lt;='B1b '!$G$35,'B1b '!$H$35,IF(AND(C163&lt;='B1b '!$G$34,C163&gt;'B1b '!$G$35),0+(('B1b '!$H$35-'B1b '!$H$34)/('B1b '!$G$35-'B1b '!$G$34))*(C163-'B1b '!$G$34),0))</f>
        <v>0</v>
      </c>
      <c r="E163" s="581"/>
      <c r="F163" s="585"/>
      <c r="G163" s="585"/>
      <c r="H163" s="581"/>
      <c r="I163" s="585"/>
      <c r="J163" s="585"/>
      <c r="K163" s="581"/>
      <c r="L163" s="585">
        <v>69</v>
      </c>
      <c r="M163" s="585">
        <f>IF(L163&lt;='B1b '!$G$41,'B1b '!$H$41,IF(AND(L163&lt;='B1b '!$G$40,L163&gt;'B1b '!$G$41),0+(('B1b '!$H$41-'B1b '!$H$40)/('B1b '!$G$41-'B1b '!$G$40))*(L163-'B1b '!$G$40),0))</f>
        <v>74.782608695652172</v>
      </c>
      <c r="N163" s="581"/>
      <c r="O163" s="585"/>
      <c r="P163" s="585"/>
      <c r="Q163" s="579"/>
    </row>
    <row r="164" spans="2:17">
      <c r="B164" s="579"/>
      <c r="C164" s="585">
        <v>70</v>
      </c>
      <c r="D164" s="585">
        <f>IF(C164&lt;='B1b '!$G$35,'B1b '!$H$35,IF(AND(C164&lt;='B1b '!$G$34,C164&gt;'B1b '!$G$35),0+(('B1b '!$H$35-'B1b '!$H$34)/('B1b '!$G$35-'B1b '!$G$34))*(C164-'B1b '!$G$34),0))</f>
        <v>0</v>
      </c>
      <c r="E164" s="581"/>
      <c r="F164" s="585"/>
      <c r="G164" s="585"/>
      <c r="H164" s="581"/>
      <c r="I164" s="585"/>
      <c r="J164" s="585"/>
      <c r="K164" s="581"/>
      <c r="L164" s="585">
        <v>70</v>
      </c>
      <c r="M164" s="585">
        <f>IF(L164&lt;='B1b '!$G$41,'B1b '!$H$41,IF(AND(L164&lt;='B1b '!$G$40,L164&gt;'B1b '!$G$41),0+(('B1b '!$H$41-'B1b '!$H$40)/('B1b '!$G$41-'B1b '!$G$40))*(L164-'B1b '!$G$40),0))</f>
        <v>73.043478260869563</v>
      </c>
      <c r="N164" s="581"/>
      <c r="O164" s="585"/>
      <c r="P164" s="585"/>
      <c r="Q164" s="579"/>
    </row>
    <row r="165" spans="2:17">
      <c r="B165" s="579"/>
      <c r="C165" s="585">
        <v>71</v>
      </c>
      <c r="D165" s="585">
        <f>IF(C165&lt;='B1b '!$G$35,'B1b '!$H$35,IF(AND(C165&lt;='B1b '!$G$34,C165&gt;'B1b '!$G$35),0+(('B1b '!$H$35-'B1b '!$H$34)/('B1b '!$G$35-'B1b '!$G$34))*(C165-'B1b '!$G$34),0))</f>
        <v>0</v>
      </c>
      <c r="E165" s="581"/>
      <c r="F165" s="585"/>
      <c r="G165" s="585"/>
      <c r="H165" s="581"/>
      <c r="I165" s="585"/>
      <c r="J165" s="585"/>
      <c r="K165" s="581"/>
      <c r="L165" s="585">
        <v>71</v>
      </c>
      <c r="M165" s="585">
        <f>IF(L165&lt;='B1b '!$G$41,'B1b '!$H$41,IF(AND(L165&lt;='B1b '!$G$40,L165&gt;'B1b '!$G$41),0+(('B1b '!$H$41-'B1b '!$H$40)/('B1b '!$G$41-'B1b '!$G$40))*(L165-'B1b '!$G$40),0))</f>
        <v>71.304347826086953</v>
      </c>
      <c r="N165" s="581"/>
      <c r="O165" s="585"/>
      <c r="P165" s="585"/>
      <c r="Q165" s="579"/>
    </row>
    <row r="166" spans="2:17">
      <c r="B166" s="579"/>
      <c r="C166" s="585">
        <v>72</v>
      </c>
      <c r="D166" s="585">
        <f>IF(C166&lt;='B1b '!$G$35,'B1b '!$H$35,IF(AND(C166&lt;='B1b '!$G$34,C166&gt;'B1b '!$G$35),0+(('B1b '!$H$35-'B1b '!$H$34)/('B1b '!$G$35-'B1b '!$G$34))*(C166-'B1b '!$G$34),0))</f>
        <v>0</v>
      </c>
      <c r="E166" s="581"/>
      <c r="F166" s="585"/>
      <c r="G166" s="585"/>
      <c r="H166" s="581"/>
      <c r="I166" s="585"/>
      <c r="J166" s="585"/>
      <c r="K166" s="581"/>
      <c r="L166" s="585">
        <v>72</v>
      </c>
      <c r="M166" s="585">
        <f>IF(L166&lt;='B1b '!$G$41,'B1b '!$H$41,IF(AND(L166&lt;='B1b '!$G$40,L166&gt;'B1b '!$G$41),0+(('B1b '!$H$41-'B1b '!$H$40)/('B1b '!$G$41-'B1b '!$G$40))*(L166-'B1b '!$G$40),0))</f>
        <v>69.565217391304344</v>
      </c>
      <c r="N166" s="581"/>
      <c r="O166" s="585"/>
      <c r="P166" s="585"/>
      <c r="Q166" s="579"/>
    </row>
    <row r="167" spans="2:17">
      <c r="B167" s="579"/>
      <c r="C167" s="585">
        <v>73</v>
      </c>
      <c r="D167" s="585">
        <f>IF(C167&lt;='B1b '!$G$35,'B1b '!$H$35,IF(AND(C167&lt;='B1b '!$G$34,C167&gt;'B1b '!$G$35),0+(('B1b '!$H$35-'B1b '!$H$34)/('B1b '!$G$35-'B1b '!$G$34))*(C167-'B1b '!$G$34),0))</f>
        <v>0</v>
      </c>
      <c r="E167" s="581"/>
      <c r="F167" s="585"/>
      <c r="G167" s="585"/>
      <c r="H167" s="581"/>
      <c r="I167" s="585"/>
      <c r="J167" s="585"/>
      <c r="K167" s="581"/>
      <c r="L167" s="585">
        <v>73</v>
      </c>
      <c r="M167" s="585">
        <f>IF(L167&lt;='B1b '!$G$41,'B1b '!$H$41,IF(AND(L167&lt;='B1b '!$G$40,L167&gt;'B1b '!$G$41),0+(('B1b '!$H$41-'B1b '!$H$40)/('B1b '!$G$41-'B1b '!$G$40))*(L167-'B1b '!$G$40),0))</f>
        <v>67.826086956521735</v>
      </c>
      <c r="N167" s="581"/>
      <c r="O167" s="585"/>
      <c r="P167" s="585"/>
      <c r="Q167" s="579"/>
    </row>
    <row r="168" spans="2:17">
      <c r="B168" s="579"/>
      <c r="C168" s="585">
        <v>74</v>
      </c>
      <c r="D168" s="585">
        <f>IF(C168&lt;='B1b '!$G$35,'B1b '!$H$35,IF(AND(C168&lt;='B1b '!$G$34,C168&gt;'B1b '!$G$35),0+(('B1b '!$H$35-'B1b '!$H$34)/('B1b '!$G$35-'B1b '!$G$34))*(C168-'B1b '!$G$34),0))</f>
        <v>0</v>
      </c>
      <c r="E168" s="581"/>
      <c r="F168" s="585"/>
      <c r="G168" s="585"/>
      <c r="H168" s="581"/>
      <c r="I168" s="585"/>
      <c r="J168" s="585"/>
      <c r="K168" s="581"/>
      <c r="L168" s="585">
        <v>74</v>
      </c>
      <c r="M168" s="585">
        <f>IF(L168&lt;='B1b '!$G$41,'B1b '!$H$41,IF(AND(L168&lt;='B1b '!$G$40,L168&gt;'B1b '!$G$41),0+(('B1b '!$H$41-'B1b '!$H$40)/('B1b '!$G$41-'B1b '!$G$40))*(L168-'B1b '!$G$40),0))</f>
        <v>66.086956521739125</v>
      </c>
      <c r="N168" s="581"/>
      <c r="O168" s="585"/>
      <c r="P168" s="585"/>
      <c r="Q168" s="579"/>
    </row>
    <row r="169" spans="2:17">
      <c r="B169" s="579"/>
      <c r="C169" s="585">
        <v>75</v>
      </c>
      <c r="D169" s="585">
        <f>IF(C169&lt;='B1b '!$G$35,'B1b '!$H$35,IF(AND(C169&lt;='B1b '!$G$34,C169&gt;'B1b '!$G$35),0+(('B1b '!$H$35-'B1b '!$H$34)/('B1b '!$G$35-'B1b '!$G$34))*(C169-'B1b '!$G$34),0))</f>
        <v>0</v>
      </c>
      <c r="E169" s="581"/>
      <c r="F169" s="585"/>
      <c r="G169" s="585"/>
      <c r="H169" s="581"/>
      <c r="I169" s="585"/>
      <c r="J169" s="585"/>
      <c r="K169" s="581"/>
      <c r="L169" s="585">
        <v>75</v>
      </c>
      <c r="M169" s="585">
        <f>IF(L169&lt;='B1b '!$G$41,'B1b '!$H$41,IF(AND(L169&lt;='B1b '!$G$40,L169&gt;'B1b '!$G$41),0+(('B1b '!$H$41-'B1b '!$H$40)/('B1b '!$G$41-'B1b '!$G$40))*(L169-'B1b '!$G$40),0))</f>
        <v>64.347826086956516</v>
      </c>
      <c r="N169" s="581"/>
      <c r="O169" s="585"/>
      <c r="P169" s="585"/>
      <c r="Q169" s="579"/>
    </row>
    <row r="170" spans="2:17">
      <c r="B170" s="579"/>
      <c r="C170" s="585">
        <v>76</v>
      </c>
      <c r="D170" s="585">
        <f>IF(C170&lt;='B1b '!$G$35,'B1b '!$H$35,IF(AND(C170&lt;='B1b '!$G$34,C170&gt;'B1b '!$G$35),0+(('B1b '!$H$35-'B1b '!$H$34)/('B1b '!$G$35-'B1b '!$G$34))*(C170-'B1b '!$G$34),0))</f>
        <v>0</v>
      </c>
      <c r="E170" s="581"/>
      <c r="F170" s="585"/>
      <c r="G170" s="585"/>
      <c r="H170" s="581"/>
      <c r="I170" s="585"/>
      <c r="J170" s="585"/>
      <c r="K170" s="581"/>
      <c r="L170" s="585">
        <v>76</v>
      </c>
      <c r="M170" s="585">
        <f>IF(L170&lt;='B1b '!$G$41,'B1b '!$H$41,IF(AND(L170&lt;='B1b '!$G$40,L170&gt;'B1b '!$G$41),0+(('B1b '!$H$41-'B1b '!$H$40)/('B1b '!$G$41-'B1b '!$G$40))*(L170-'B1b '!$G$40),0))</f>
        <v>62.608695652173914</v>
      </c>
      <c r="N170" s="581"/>
      <c r="O170" s="585"/>
      <c r="P170" s="585"/>
      <c r="Q170" s="579"/>
    </row>
    <row r="171" spans="2:17">
      <c r="B171" s="579"/>
      <c r="C171" s="585">
        <v>77</v>
      </c>
      <c r="D171" s="585">
        <f>IF(C171&lt;='B1b '!$G$35,'B1b '!$H$35,IF(AND(C171&lt;='B1b '!$G$34,C171&gt;'B1b '!$G$35),0+(('B1b '!$H$35-'B1b '!$H$34)/('B1b '!$G$35-'B1b '!$G$34))*(C171-'B1b '!$G$34),0))</f>
        <v>0</v>
      </c>
      <c r="E171" s="581"/>
      <c r="F171" s="585"/>
      <c r="G171" s="585"/>
      <c r="H171" s="581"/>
      <c r="I171" s="585"/>
      <c r="J171" s="585"/>
      <c r="K171" s="581"/>
      <c r="L171" s="585">
        <v>77</v>
      </c>
      <c r="M171" s="585">
        <f>IF(L171&lt;='B1b '!$G$41,'B1b '!$H$41,IF(AND(L171&lt;='B1b '!$G$40,L171&gt;'B1b '!$G$41),0+(('B1b '!$H$41-'B1b '!$H$40)/('B1b '!$G$41-'B1b '!$G$40))*(L171-'B1b '!$G$40),0))</f>
        <v>60.869565217391305</v>
      </c>
      <c r="N171" s="581"/>
      <c r="O171" s="585"/>
      <c r="P171" s="585"/>
      <c r="Q171" s="579"/>
    </row>
    <row r="172" spans="2:17">
      <c r="B172" s="579"/>
      <c r="C172" s="585"/>
      <c r="D172" s="585"/>
      <c r="E172" s="581"/>
      <c r="F172" s="585"/>
      <c r="G172" s="585"/>
      <c r="H172" s="581"/>
      <c r="I172" s="585"/>
      <c r="J172" s="585"/>
      <c r="K172" s="581"/>
      <c r="L172" s="585">
        <v>78</v>
      </c>
      <c r="M172" s="585">
        <f>IF(L172&lt;='B1b '!$G$41,'B1b '!$H$41,IF(AND(L172&lt;='B1b '!$G$40,L172&gt;'B1b '!$G$41),0+(('B1b '!$H$41-'B1b '!$H$40)/('B1b '!$G$41-'B1b '!$G$40))*(L172-'B1b '!$G$40),0))</f>
        <v>59.130434782608695</v>
      </c>
      <c r="N172" s="581"/>
      <c r="O172" s="585"/>
      <c r="P172" s="585"/>
      <c r="Q172" s="579"/>
    </row>
    <row r="173" spans="2:17">
      <c r="B173" s="579"/>
      <c r="C173" s="585"/>
      <c r="D173" s="585"/>
      <c r="E173" s="581"/>
      <c r="F173" s="585"/>
      <c r="G173" s="585"/>
      <c r="H173" s="581"/>
      <c r="I173" s="585"/>
      <c r="J173" s="585"/>
      <c r="K173" s="581"/>
      <c r="L173" s="585">
        <v>79</v>
      </c>
      <c r="M173" s="585">
        <f>IF(L173&lt;='B1b '!$G$41,'B1b '!$H$41,IF(AND(L173&lt;='B1b '!$G$40,L173&gt;'B1b '!$G$41),0+(('B1b '!$H$41-'B1b '!$H$40)/('B1b '!$G$41-'B1b '!$G$40))*(L173-'B1b '!$G$40),0))</f>
        <v>57.391304347826086</v>
      </c>
      <c r="N173" s="581"/>
      <c r="O173" s="585"/>
      <c r="P173" s="585"/>
      <c r="Q173" s="579"/>
    </row>
    <row r="174" spans="2:17">
      <c r="B174" s="579"/>
      <c r="C174" s="585"/>
      <c r="D174" s="585"/>
      <c r="E174" s="581"/>
      <c r="F174" s="585"/>
      <c r="G174" s="585"/>
      <c r="H174" s="581"/>
      <c r="I174" s="585"/>
      <c r="J174" s="585"/>
      <c r="K174" s="581"/>
      <c r="L174" s="585">
        <v>80</v>
      </c>
      <c r="M174" s="585">
        <f>IF(L174&lt;='B1b '!$G$41,'B1b '!$H$41,IF(AND(L174&lt;='B1b '!$G$40,L174&gt;'B1b '!$G$41),0+(('B1b '!$H$41-'B1b '!$H$40)/('B1b '!$G$41-'B1b '!$G$40))*(L174-'B1b '!$G$40),0))</f>
        <v>55.652173913043477</v>
      </c>
      <c r="N174" s="581"/>
      <c r="O174" s="585"/>
      <c r="P174" s="585"/>
      <c r="Q174" s="579"/>
    </row>
    <row r="175" spans="2:17">
      <c r="B175" s="579"/>
      <c r="C175" s="585"/>
      <c r="D175" s="585"/>
      <c r="E175" s="581"/>
      <c r="F175" s="585"/>
      <c r="G175" s="585"/>
      <c r="H175" s="581"/>
      <c r="I175" s="585"/>
      <c r="J175" s="585"/>
      <c r="K175" s="581"/>
      <c r="L175" s="585">
        <v>81</v>
      </c>
      <c r="M175" s="585">
        <f>IF(L175&lt;='B1b '!$G$41,'B1b '!$H$41,IF(AND(L175&lt;='B1b '!$G$40,L175&gt;'B1b '!$G$41),0+(('B1b '!$H$41-'B1b '!$H$40)/('B1b '!$G$41-'B1b '!$G$40))*(L175-'B1b '!$G$40),0))</f>
        <v>53.913043478260867</v>
      </c>
      <c r="N175" s="581"/>
      <c r="O175" s="585"/>
      <c r="P175" s="585"/>
      <c r="Q175" s="579"/>
    </row>
    <row r="176" spans="2:17">
      <c r="B176" s="579"/>
      <c r="C176" s="585"/>
      <c r="D176" s="585"/>
      <c r="E176" s="581"/>
      <c r="F176" s="585"/>
      <c r="G176" s="585"/>
      <c r="H176" s="581"/>
      <c r="I176" s="585"/>
      <c r="J176" s="585"/>
      <c r="K176" s="581"/>
      <c r="L176" s="585">
        <v>82</v>
      </c>
      <c r="M176" s="585">
        <f>IF(L176&lt;='B1b '!$G$41,'B1b '!$H$41,IF(AND(L176&lt;='B1b '!$G$40,L176&gt;'B1b '!$G$41),0+(('B1b '!$H$41-'B1b '!$H$40)/('B1b '!$G$41-'B1b '!$G$40))*(L176-'B1b '!$G$40),0))</f>
        <v>52.173913043478258</v>
      </c>
      <c r="N176" s="581"/>
      <c r="O176" s="585"/>
      <c r="P176" s="585"/>
      <c r="Q176" s="579"/>
    </row>
    <row r="177" spans="2:17">
      <c r="B177" s="579"/>
      <c r="C177" s="585"/>
      <c r="D177" s="585"/>
      <c r="E177" s="581"/>
      <c r="F177" s="585"/>
      <c r="G177" s="585"/>
      <c r="H177" s="581"/>
      <c r="I177" s="585"/>
      <c r="J177" s="585"/>
      <c r="K177" s="581"/>
      <c r="L177" s="585">
        <v>83</v>
      </c>
      <c r="M177" s="585">
        <f>IF(L177&lt;='B1b '!$G$41,'B1b '!$H$41,IF(AND(L177&lt;='B1b '!$G$40,L177&gt;'B1b '!$G$41),0+(('B1b '!$H$41-'B1b '!$H$40)/('B1b '!$G$41-'B1b '!$G$40))*(L177-'B1b '!$G$40),0))</f>
        <v>50.434782608695649</v>
      </c>
      <c r="N177" s="581"/>
      <c r="O177" s="585"/>
      <c r="P177" s="585"/>
      <c r="Q177" s="579"/>
    </row>
    <row r="178" spans="2:17">
      <c r="B178" s="579"/>
      <c r="C178" s="585"/>
      <c r="D178" s="585"/>
      <c r="E178" s="581"/>
      <c r="F178" s="585"/>
      <c r="G178" s="585"/>
      <c r="H178" s="581"/>
      <c r="I178" s="585"/>
      <c r="J178" s="585"/>
      <c r="K178" s="581"/>
      <c r="L178" s="585">
        <v>84</v>
      </c>
      <c r="M178" s="585">
        <f>IF(L178&lt;='B1b '!$G$41,'B1b '!$H$41,IF(AND(L178&lt;='B1b '!$G$40,L178&gt;'B1b '!$G$41),0+(('B1b '!$H$41-'B1b '!$H$40)/('B1b '!$G$41-'B1b '!$G$40))*(L178-'B1b '!$G$40),0))</f>
        <v>48.695652173913039</v>
      </c>
      <c r="N178" s="581"/>
      <c r="O178" s="585"/>
      <c r="P178" s="585"/>
      <c r="Q178" s="579"/>
    </row>
    <row r="179" spans="2:17">
      <c r="B179" s="579"/>
      <c r="C179" s="585"/>
      <c r="D179" s="585"/>
      <c r="E179" s="581"/>
      <c r="F179" s="585"/>
      <c r="G179" s="585"/>
      <c r="H179" s="581"/>
      <c r="I179" s="585"/>
      <c r="J179" s="585"/>
      <c r="K179" s="581"/>
      <c r="L179" s="585">
        <v>85</v>
      </c>
      <c r="M179" s="585">
        <f>IF(L179&lt;='B1b '!$G$41,'B1b '!$H$41,IF(AND(L179&lt;='B1b '!$G$40,L179&gt;'B1b '!$G$41),0+(('B1b '!$H$41-'B1b '!$H$40)/('B1b '!$G$41-'B1b '!$G$40))*(L179-'B1b '!$G$40),0))</f>
        <v>46.95652173913043</v>
      </c>
      <c r="N179" s="581"/>
      <c r="O179" s="585"/>
      <c r="P179" s="585"/>
      <c r="Q179" s="579"/>
    </row>
    <row r="180" spans="2:17">
      <c r="B180" s="579"/>
      <c r="C180" s="585"/>
      <c r="D180" s="585"/>
      <c r="E180" s="581"/>
      <c r="F180" s="585"/>
      <c r="G180" s="585"/>
      <c r="H180" s="581"/>
      <c r="I180" s="585"/>
      <c r="J180" s="585"/>
      <c r="K180" s="581"/>
      <c r="L180" s="585">
        <v>86</v>
      </c>
      <c r="M180" s="585">
        <f>IF(L180&lt;='B1b '!$G$41,'B1b '!$H$41,IF(AND(L180&lt;='B1b '!$G$40,L180&gt;'B1b '!$G$41),0+(('B1b '!$H$41-'B1b '!$H$40)/('B1b '!$G$41-'B1b '!$G$40))*(L180-'B1b '!$G$40),0))</f>
        <v>45.217391304347828</v>
      </c>
      <c r="N180" s="581"/>
      <c r="O180" s="585"/>
      <c r="P180" s="585"/>
      <c r="Q180" s="579"/>
    </row>
    <row r="181" spans="2:17">
      <c r="B181" s="579"/>
      <c r="C181" s="585"/>
      <c r="D181" s="585"/>
      <c r="E181" s="581"/>
      <c r="F181" s="585"/>
      <c r="G181" s="585"/>
      <c r="H181" s="581"/>
      <c r="I181" s="585"/>
      <c r="J181" s="585"/>
      <c r="K181" s="581"/>
      <c r="L181" s="585">
        <v>87</v>
      </c>
      <c r="M181" s="585">
        <f>IF(L181&lt;='B1b '!$G$41,'B1b '!$H$41,IF(AND(L181&lt;='B1b '!$G$40,L181&gt;'B1b '!$G$41),0+(('B1b '!$H$41-'B1b '!$H$40)/('B1b '!$G$41-'B1b '!$G$40))*(L181-'B1b '!$G$40),0))</f>
        <v>43.478260869565219</v>
      </c>
      <c r="N181" s="581"/>
      <c r="O181" s="585"/>
      <c r="P181" s="585"/>
      <c r="Q181" s="579"/>
    </row>
    <row r="182" spans="2:17">
      <c r="B182" s="579"/>
      <c r="C182" s="585"/>
      <c r="D182" s="585"/>
      <c r="E182" s="581"/>
      <c r="F182" s="585"/>
      <c r="G182" s="585"/>
      <c r="H182" s="581"/>
      <c r="I182" s="585"/>
      <c r="J182" s="585"/>
      <c r="K182" s="581"/>
      <c r="L182" s="585">
        <v>88</v>
      </c>
      <c r="M182" s="585">
        <f>IF(L182&lt;='B1b '!$G$41,'B1b '!$H$41,IF(AND(L182&lt;='B1b '!$G$40,L182&gt;'B1b '!$G$41),0+(('B1b '!$H$41-'B1b '!$H$40)/('B1b '!$G$41-'B1b '!$G$40))*(L182-'B1b '!$G$40),0))</f>
        <v>41.739130434782609</v>
      </c>
      <c r="N182" s="581"/>
      <c r="O182" s="585"/>
      <c r="P182" s="585"/>
      <c r="Q182" s="579"/>
    </row>
    <row r="183" spans="2:17">
      <c r="B183" s="579"/>
      <c r="C183" s="585"/>
      <c r="D183" s="585"/>
      <c r="E183" s="581"/>
      <c r="F183" s="585"/>
      <c r="G183" s="585"/>
      <c r="H183" s="581"/>
      <c r="I183" s="585"/>
      <c r="J183" s="585"/>
      <c r="K183" s="581"/>
      <c r="L183" s="585">
        <v>89</v>
      </c>
      <c r="M183" s="585">
        <f>IF(L183&lt;='B1b '!$G$41,'B1b '!$H$41,IF(AND(L183&lt;='B1b '!$G$40,L183&gt;'B1b '!$G$41),0+(('B1b '!$H$41-'B1b '!$H$40)/('B1b '!$G$41-'B1b '!$G$40))*(L183-'B1b '!$G$40),0))</f>
        <v>40</v>
      </c>
      <c r="N183" s="581"/>
      <c r="O183" s="585"/>
      <c r="P183" s="585"/>
      <c r="Q183" s="579"/>
    </row>
    <row r="184" spans="2:17">
      <c r="B184" s="579"/>
      <c r="C184" s="585"/>
      <c r="D184" s="585"/>
      <c r="E184" s="581"/>
      <c r="F184" s="585"/>
      <c r="G184" s="585"/>
      <c r="H184" s="581"/>
      <c r="I184" s="585"/>
      <c r="J184" s="585"/>
      <c r="K184" s="581"/>
      <c r="L184" s="585">
        <v>90</v>
      </c>
      <c r="M184" s="585">
        <f>IF(L184&lt;='B1b '!$G$41,'B1b '!$H$41,IF(AND(L184&lt;='B1b '!$G$40,L184&gt;'B1b '!$G$41),0+(('B1b '!$H$41-'B1b '!$H$40)/('B1b '!$G$41-'B1b '!$G$40))*(L184-'B1b '!$G$40),0))</f>
        <v>38.260869565217391</v>
      </c>
      <c r="N184" s="581"/>
      <c r="O184" s="585"/>
      <c r="P184" s="585"/>
      <c r="Q184" s="579"/>
    </row>
    <row r="185" spans="2:17">
      <c r="B185" s="579"/>
      <c r="C185" s="585"/>
      <c r="D185" s="585"/>
      <c r="E185" s="581"/>
      <c r="F185" s="585"/>
      <c r="G185" s="585"/>
      <c r="H185" s="581"/>
      <c r="I185" s="585"/>
      <c r="J185" s="585"/>
      <c r="K185" s="581"/>
      <c r="L185" s="585">
        <v>91</v>
      </c>
      <c r="M185" s="585">
        <f>IF(L185&lt;='B1b '!$G$41,'B1b '!$H$41,IF(AND(L185&lt;='B1b '!$G$40,L185&gt;'B1b '!$G$41),0+(('B1b '!$H$41-'B1b '!$H$40)/('B1b '!$G$41-'B1b '!$G$40))*(L185-'B1b '!$G$40),0))</f>
        <v>36.521739130434781</v>
      </c>
      <c r="N185" s="581"/>
      <c r="O185" s="585"/>
      <c r="P185" s="585"/>
      <c r="Q185" s="579"/>
    </row>
    <row r="186" spans="2:17">
      <c r="B186" s="579"/>
      <c r="C186" s="585"/>
      <c r="D186" s="585"/>
      <c r="E186" s="581"/>
      <c r="F186" s="585"/>
      <c r="G186" s="585"/>
      <c r="H186" s="581"/>
      <c r="I186" s="585"/>
      <c r="J186" s="585"/>
      <c r="K186" s="581"/>
      <c r="L186" s="585">
        <v>92</v>
      </c>
      <c r="M186" s="585">
        <f>IF(L186&lt;='B1b '!$G$41,'B1b '!$H$41,IF(AND(L186&lt;='B1b '!$G$40,L186&gt;'B1b '!$G$41),0+(('B1b '!$H$41-'B1b '!$H$40)/('B1b '!$G$41-'B1b '!$G$40))*(L186-'B1b '!$G$40),0))</f>
        <v>34.782608695652172</v>
      </c>
      <c r="N186" s="581"/>
      <c r="O186" s="585"/>
      <c r="P186" s="585"/>
      <c r="Q186" s="579"/>
    </row>
    <row r="187" spans="2:17">
      <c r="B187" s="579"/>
      <c r="C187" s="585"/>
      <c r="D187" s="585"/>
      <c r="E187" s="581"/>
      <c r="F187" s="585"/>
      <c r="G187" s="585"/>
      <c r="H187" s="581"/>
      <c r="I187" s="585"/>
      <c r="J187" s="585"/>
      <c r="K187" s="581"/>
      <c r="L187" s="585">
        <v>93</v>
      </c>
      <c r="M187" s="585">
        <f>IF(L187&lt;='B1b '!$G$41,'B1b '!$H$41,IF(AND(L187&lt;='B1b '!$G$40,L187&gt;'B1b '!$G$41),0+(('B1b '!$H$41-'B1b '!$H$40)/('B1b '!$G$41-'B1b '!$G$40))*(L187-'B1b '!$G$40),0))</f>
        <v>33.043478260869563</v>
      </c>
      <c r="N187" s="581"/>
      <c r="O187" s="585"/>
      <c r="P187" s="585"/>
      <c r="Q187" s="579"/>
    </row>
    <row r="188" spans="2:17">
      <c r="B188" s="579"/>
      <c r="C188" s="585"/>
      <c r="D188" s="585"/>
      <c r="E188" s="581"/>
      <c r="F188" s="585"/>
      <c r="G188" s="585"/>
      <c r="H188" s="581"/>
      <c r="I188" s="585"/>
      <c r="J188" s="585"/>
      <c r="K188" s="581"/>
      <c r="L188" s="585">
        <v>94</v>
      </c>
      <c r="M188" s="585">
        <f>IF(L188&lt;='B1b '!$G$41,'B1b '!$H$41,IF(AND(L188&lt;='B1b '!$G$40,L188&gt;'B1b '!$G$41),0+(('B1b '!$H$41-'B1b '!$H$40)/('B1b '!$G$41-'B1b '!$G$40))*(L188-'B1b '!$G$40),0))</f>
        <v>31.304347826086957</v>
      </c>
      <c r="N188" s="581"/>
      <c r="O188" s="585"/>
      <c r="P188" s="585"/>
      <c r="Q188" s="579"/>
    </row>
    <row r="189" spans="2:17">
      <c r="B189" s="579"/>
      <c r="C189" s="585"/>
      <c r="D189" s="585"/>
      <c r="E189" s="581"/>
      <c r="F189" s="585"/>
      <c r="G189" s="585"/>
      <c r="H189" s="581"/>
      <c r="I189" s="585"/>
      <c r="J189" s="585"/>
      <c r="K189" s="581"/>
      <c r="L189" s="585">
        <v>95</v>
      </c>
      <c r="M189" s="585">
        <f>IF(L189&lt;='B1b '!$G$41,'B1b '!$H$41,IF(AND(L189&lt;='B1b '!$G$40,L189&gt;'B1b '!$G$41),0+(('B1b '!$H$41-'B1b '!$H$40)/('B1b '!$G$41-'B1b '!$G$40))*(L189-'B1b '!$G$40),0))</f>
        <v>29.565217391304348</v>
      </c>
      <c r="N189" s="581"/>
      <c r="O189" s="585"/>
      <c r="P189" s="585"/>
      <c r="Q189" s="579"/>
    </row>
    <row r="190" spans="2:17">
      <c r="B190" s="579"/>
      <c r="C190" s="585"/>
      <c r="D190" s="585"/>
      <c r="E190" s="581"/>
      <c r="F190" s="585"/>
      <c r="G190" s="585"/>
      <c r="H190" s="581"/>
      <c r="I190" s="585"/>
      <c r="J190" s="585"/>
      <c r="K190" s="581"/>
      <c r="L190" s="585">
        <v>96</v>
      </c>
      <c r="M190" s="585">
        <f>IF(L190&lt;='B1b '!$G$41,'B1b '!$H$41,IF(AND(L190&lt;='B1b '!$G$40,L190&gt;'B1b '!$G$41),0+(('B1b '!$H$41-'B1b '!$H$40)/('B1b '!$G$41-'B1b '!$G$40))*(L190-'B1b '!$G$40),0))</f>
        <v>27.826086956521738</v>
      </c>
      <c r="N190" s="581"/>
      <c r="O190" s="585"/>
      <c r="P190" s="585"/>
      <c r="Q190" s="579"/>
    </row>
    <row r="191" spans="2:17">
      <c r="B191" s="579"/>
      <c r="C191" s="585"/>
      <c r="D191" s="585"/>
      <c r="E191" s="581"/>
      <c r="F191" s="585"/>
      <c r="G191" s="585"/>
      <c r="H191" s="581"/>
      <c r="I191" s="585"/>
      <c r="J191" s="585"/>
      <c r="K191" s="581"/>
      <c r="L191" s="585">
        <v>97</v>
      </c>
      <c r="M191" s="585">
        <f>IF(L191&lt;='B1b '!$G$41,'B1b '!$H$41,IF(AND(L191&lt;='B1b '!$G$40,L191&gt;'B1b '!$G$41),0+(('B1b '!$H$41-'B1b '!$H$40)/('B1b '!$G$41-'B1b '!$G$40))*(L191-'B1b '!$G$40),0))</f>
        <v>26.086956521739129</v>
      </c>
      <c r="N191" s="581"/>
      <c r="O191" s="585"/>
      <c r="P191" s="585"/>
      <c r="Q191" s="579"/>
    </row>
    <row r="192" spans="2:17">
      <c r="B192" s="579"/>
      <c r="C192" s="585"/>
      <c r="D192" s="585"/>
      <c r="E192" s="581"/>
      <c r="F192" s="585"/>
      <c r="G192" s="585"/>
      <c r="H192" s="581"/>
      <c r="I192" s="585"/>
      <c r="J192" s="585"/>
      <c r="K192" s="581"/>
      <c r="L192" s="585">
        <v>98</v>
      </c>
      <c r="M192" s="585">
        <f>IF(L192&lt;='B1b '!$G$41,'B1b '!$H$41,IF(AND(L192&lt;='B1b '!$G$40,L192&gt;'B1b '!$G$41),0+(('B1b '!$H$41-'B1b '!$H$40)/('B1b '!$G$41-'B1b '!$G$40))*(L192-'B1b '!$G$40),0))</f>
        <v>24.34782608695652</v>
      </c>
      <c r="N192" s="581"/>
      <c r="O192" s="585"/>
      <c r="P192" s="585"/>
      <c r="Q192" s="579"/>
    </row>
    <row r="193" spans="2:17">
      <c r="B193" s="579"/>
      <c r="C193" s="585"/>
      <c r="D193" s="585"/>
      <c r="E193" s="581"/>
      <c r="F193" s="585"/>
      <c r="G193" s="585"/>
      <c r="H193" s="581"/>
      <c r="I193" s="585"/>
      <c r="J193" s="585"/>
      <c r="K193" s="581"/>
      <c r="L193" s="585">
        <v>99</v>
      </c>
      <c r="M193" s="585">
        <f>IF(L193&lt;='B1b '!$G$41,'B1b '!$H$41,IF(AND(L193&lt;='B1b '!$G$40,L193&gt;'B1b '!$G$41),0+(('B1b '!$H$41-'B1b '!$H$40)/('B1b '!$G$41-'B1b '!$G$40))*(L193-'B1b '!$G$40),0))</f>
        <v>22.608695652173914</v>
      </c>
      <c r="N193" s="581"/>
      <c r="O193" s="585"/>
      <c r="P193" s="585"/>
      <c r="Q193" s="579"/>
    </row>
    <row r="194" spans="2:17">
      <c r="B194" s="579"/>
      <c r="C194" s="585"/>
      <c r="D194" s="585"/>
      <c r="E194" s="581"/>
      <c r="F194" s="585"/>
      <c r="G194" s="585"/>
      <c r="H194" s="581"/>
      <c r="I194" s="585"/>
      <c r="J194" s="585"/>
      <c r="K194" s="581"/>
      <c r="L194" s="585">
        <v>100</v>
      </c>
      <c r="M194" s="585">
        <f>IF(L194&lt;='B1b '!$G$41,'B1b '!$H$41,IF(AND(L194&lt;='B1b '!$G$40,L194&gt;'B1b '!$G$41),0+(('B1b '!$H$41-'B1b '!$H$40)/('B1b '!$G$41-'B1b '!$G$40))*(L194-'B1b '!$G$40),0))</f>
        <v>20.869565217391305</v>
      </c>
      <c r="N194" s="581"/>
      <c r="O194" s="585"/>
      <c r="P194" s="585"/>
      <c r="Q194" s="579"/>
    </row>
    <row r="195" spans="2:17">
      <c r="B195" s="579"/>
      <c r="C195" s="581"/>
      <c r="D195" s="581"/>
      <c r="E195" s="581"/>
      <c r="F195" s="581"/>
      <c r="G195" s="581"/>
      <c r="H195" s="581"/>
      <c r="I195" s="581"/>
      <c r="J195" s="581"/>
      <c r="K195" s="581"/>
      <c r="L195" s="585">
        <v>101</v>
      </c>
      <c r="M195" s="585">
        <f>IF(L195&lt;='B1b '!$G$41,'B1b '!$H$41,IF(AND(L195&lt;='B1b '!$G$40,L195&gt;'B1b '!$G$41),0+(('B1b '!$H$41-'B1b '!$H$40)/('B1b '!$G$41-'B1b '!$G$40))*(L195-'B1b '!$G$40),0))</f>
        <v>19.130434782608695</v>
      </c>
      <c r="N195" s="581"/>
      <c r="O195" s="581"/>
      <c r="P195" s="581"/>
      <c r="Q195" s="579"/>
    </row>
    <row r="196" spans="2:17">
      <c r="B196" s="579"/>
      <c r="C196" s="581"/>
      <c r="D196" s="581"/>
      <c r="E196" s="581"/>
      <c r="F196" s="581"/>
      <c r="G196" s="581"/>
      <c r="H196" s="581"/>
      <c r="I196" s="581"/>
      <c r="J196" s="581"/>
      <c r="K196" s="581"/>
      <c r="L196" s="585">
        <v>102</v>
      </c>
      <c r="M196" s="585">
        <f>IF(L196&lt;='B1b '!$G$41,'B1b '!$H$41,IF(AND(L196&lt;='B1b '!$G$40,L196&gt;'B1b '!$G$41),0+(('B1b '!$H$41-'B1b '!$H$40)/('B1b '!$G$41-'B1b '!$G$40))*(L196-'B1b '!$G$40),0))</f>
        <v>17.391304347826086</v>
      </c>
      <c r="N196" s="581"/>
      <c r="O196" s="581"/>
      <c r="P196" s="581"/>
      <c r="Q196" s="579"/>
    </row>
    <row r="197" spans="2:17">
      <c r="B197" s="579"/>
      <c r="C197" s="581"/>
      <c r="D197" s="581"/>
      <c r="E197" s="581"/>
      <c r="F197" s="581"/>
      <c r="G197" s="581"/>
      <c r="H197" s="581"/>
      <c r="I197" s="581"/>
      <c r="J197" s="581"/>
      <c r="K197" s="581"/>
      <c r="L197" s="585">
        <v>103</v>
      </c>
      <c r="M197" s="585">
        <f>IF(L197&lt;='B1b '!$G$41,'B1b '!$H$41,IF(AND(L197&lt;='B1b '!$G$40,L197&gt;'B1b '!$G$41),0+(('B1b '!$H$41-'B1b '!$H$40)/('B1b '!$G$41-'B1b '!$G$40))*(L197-'B1b '!$G$40),0))</f>
        <v>15.652173913043478</v>
      </c>
      <c r="N197" s="581"/>
      <c r="O197" s="581"/>
      <c r="P197" s="581"/>
      <c r="Q197" s="579"/>
    </row>
    <row r="198" spans="2:17">
      <c r="B198" s="579"/>
      <c r="C198" s="581"/>
      <c r="D198" s="581"/>
      <c r="E198" s="581"/>
      <c r="F198" s="581"/>
      <c r="G198" s="581"/>
      <c r="H198" s="581"/>
      <c r="I198" s="581"/>
      <c r="J198" s="581"/>
      <c r="K198" s="581"/>
      <c r="L198" s="650">
        <v>104</v>
      </c>
      <c r="M198" s="585">
        <f>IF(L198&lt;='B1b '!$G$41,'B1b '!$H$41,IF(AND(L198&lt;='B1b '!$G$40,L198&gt;'B1b '!$G$41),0+(('B1b '!$H$41-'B1b '!$H$40)/('B1b '!$G$41-'B1b '!$G$40))*(L198-'B1b '!$G$40),0))</f>
        <v>13.913043478260869</v>
      </c>
      <c r="N198" s="581"/>
      <c r="O198" s="581"/>
      <c r="P198" s="581"/>
      <c r="Q198" s="579"/>
    </row>
    <row r="199" spans="2:17">
      <c r="B199" s="579"/>
      <c r="C199" s="581"/>
      <c r="D199" s="581"/>
      <c r="E199" s="581"/>
      <c r="F199" s="581"/>
      <c r="G199" s="581"/>
      <c r="H199" s="581"/>
      <c r="I199" s="581"/>
      <c r="J199" s="581"/>
      <c r="K199" s="581"/>
      <c r="L199" s="650">
        <v>105</v>
      </c>
      <c r="M199" s="585">
        <f>IF(L199&lt;='B1b '!$G$41,'B1b '!$H$41,IF(AND(L199&lt;='B1b '!$G$40,L199&gt;'B1b '!$G$41),0+(('B1b '!$H$41-'B1b '!$H$40)/('B1b '!$G$41-'B1b '!$G$40))*(L199-'B1b '!$G$40),0))</f>
        <v>12.17391304347826</v>
      </c>
      <c r="N199" s="581"/>
      <c r="O199" s="581"/>
      <c r="P199" s="581"/>
      <c r="Q199" s="579"/>
    </row>
    <row r="200" spans="2:17">
      <c r="B200" s="579"/>
      <c r="C200" s="581"/>
      <c r="D200" s="581"/>
      <c r="E200" s="581"/>
      <c r="F200" s="581"/>
      <c r="G200" s="581"/>
      <c r="H200" s="581"/>
      <c r="I200" s="581"/>
      <c r="J200" s="581"/>
      <c r="K200" s="581"/>
      <c r="L200" s="650">
        <v>106</v>
      </c>
      <c r="M200" s="585">
        <f>IF(L200&lt;='B1b '!$G$41,'B1b '!$H$41,IF(AND(L200&lt;='B1b '!$G$40,L200&gt;'B1b '!$G$41),0+(('B1b '!$H$41-'B1b '!$H$40)/('B1b '!$G$41-'B1b '!$G$40))*(L200-'B1b '!$G$40),0))</f>
        <v>10.434782608695652</v>
      </c>
      <c r="N200" s="581"/>
      <c r="O200" s="581"/>
      <c r="P200" s="581"/>
      <c r="Q200" s="579"/>
    </row>
    <row r="201" spans="2:17">
      <c r="B201" s="579"/>
      <c r="C201" s="581"/>
      <c r="D201" s="581"/>
      <c r="E201" s="581"/>
      <c r="F201" s="581"/>
      <c r="G201" s="581"/>
      <c r="H201" s="581"/>
      <c r="I201" s="581"/>
      <c r="J201" s="581"/>
      <c r="K201" s="581"/>
      <c r="L201" s="650">
        <v>107</v>
      </c>
      <c r="M201" s="585">
        <f>IF(L201&lt;='B1b '!$G$41,'B1b '!$H$41,IF(AND(L201&lt;='B1b '!$G$40,L201&gt;'B1b '!$G$41),0+(('B1b '!$H$41-'B1b '!$H$40)/('B1b '!$G$41-'B1b '!$G$40))*(L201-'B1b '!$G$40),0))</f>
        <v>8.695652173913043</v>
      </c>
      <c r="N201" s="581"/>
      <c r="O201" s="581"/>
      <c r="P201" s="581"/>
      <c r="Q201" s="579"/>
    </row>
    <row r="202" spans="2:17">
      <c r="B202" s="579"/>
      <c r="C202" s="581"/>
      <c r="D202" s="581"/>
      <c r="E202" s="581"/>
      <c r="F202" s="581"/>
      <c r="G202" s="581"/>
      <c r="H202" s="581"/>
      <c r="I202" s="581"/>
      <c r="J202" s="581"/>
      <c r="K202" s="581"/>
      <c r="L202" s="650">
        <v>108</v>
      </c>
      <c r="M202" s="585">
        <f>IF(L202&lt;='B1b '!$G$41,'B1b '!$H$41,IF(AND(L202&lt;='B1b '!$G$40,L202&gt;'B1b '!$G$41),0+(('B1b '!$H$41-'B1b '!$H$40)/('B1b '!$G$41-'B1b '!$G$40))*(L202-'B1b '!$G$40),0))</f>
        <v>6.9565217391304346</v>
      </c>
      <c r="N202" s="581"/>
      <c r="O202" s="581"/>
      <c r="P202" s="581"/>
      <c r="Q202" s="579"/>
    </row>
    <row r="203" spans="2:17">
      <c r="B203" s="579"/>
      <c r="C203" s="581"/>
      <c r="D203" s="581"/>
      <c r="E203" s="581"/>
      <c r="F203" s="581"/>
      <c r="G203" s="581"/>
      <c r="H203" s="581"/>
      <c r="I203" s="581"/>
      <c r="J203" s="581"/>
      <c r="K203" s="581"/>
      <c r="L203" s="650">
        <v>109</v>
      </c>
      <c r="M203" s="585">
        <f>IF(L203&lt;='B1b '!$G$41,'B1b '!$H$41,IF(AND(L203&lt;='B1b '!$G$40,L203&gt;'B1b '!$G$41),0+(('B1b '!$H$41-'B1b '!$H$40)/('B1b '!$G$41-'B1b '!$G$40))*(L203-'B1b '!$G$40),0))</f>
        <v>5.2173913043478262</v>
      </c>
      <c r="N203" s="581"/>
      <c r="O203" s="581"/>
      <c r="P203" s="581"/>
      <c r="Q203" s="579"/>
    </row>
    <row r="204" spans="2:17">
      <c r="B204" s="579"/>
      <c r="C204" s="581"/>
      <c r="D204" s="581"/>
      <c r="E204" s="581"/>
      <c r="F204" s="581"/>
      <c r="G204" s="581"/>
      <c r="H204" s="581"/>
      <c r="I204" s="581"/>
      <c r="J204" s="581"/>
      <c r="K204" s="581"/>
      <c r="L204" s="650">
        <v>110</v>
      </c>
      <c r="M204" s="585">
        <f>IF(L204&lt;='B1b '!$G$41,'B1b '!$H$41,IF(AND(L204&lt;='B1b '!$G$40,L204&gt;'B1b '!$G$41),0+(('B1b '!$H$41-'B1b '!$H$40)/('B1b '!$G$41-'B1b '!$G$40))*(L204-'B1b '!$G$40),0))</f>
        <v>3.4782608695652173</v>
      </c>
      <c r="N204" s="581"/>
      <c r="O204" s="581"/>
      <c r="P204" s="581"/>
      <c r="Q204" s="579"/>
    </row>
    <row r="205" spans="2:17">
      <c r="B205" s="579"/>
      <c r="C205" s="581"/>
      <c r="D205" s="581"/>
      <c r="E205" s="581"/>
      <c r="F205" s="581"/>
      <c r="G205" s="581"/>
      <c r="H205" s="581"/>
      <c r="I205" s="581"/>
      <c r="J205" s="581"/>
      <c r="K205" s="581"/>
      <c r="L205" s="650">
        <v>111</v>
      </c>
      <c r="M205" s="585">
        <f>IF(L205&lt;='B1b '!$G$41,'B1b '!$H$41,IF(AND(L205&lt;='B1b '!$G$40,L205&gt;'B1b '!$G$41),0+(('B1b '!$H$41-'B1b '!$H$40)/('B1b '!$G$41-'B1b '!$G$40))*(L205-'B1b '!$G$40),0))</f>
        <v>1.7391304347826086</v>
      </c>
      <c r="N205" s="581"/>
      <c r="O205" s="581"/>
      <c r="P205" s="581"/>
      <c r="Q205" s="579"/>
    </row>
    <row r="206" spans="2:17">
      <c r="B206" s="579"/>
      <c r="C206" s="581"/>
      <c r="D206" s="581"/>
      <c r="E206" s="581"/>
      <c r="F206" s="581"/>
      <c r="G206" s="581"/>
      <c r="H206" s="581"/>
      <c r="I206" s="581"/>
      <c r="J206" s="581"/>
      <c r="K206" s="581"/>
      <c r="L206" s="650">
        <v>112</v>
      </c>
      <c r="M206" s="585">
        <f>IF(L206&lt;='B1b '!$G$41,'B1b '!$H$41,IF(AND(L206&lt;='B1b '!$G$40,L206&gt;'B1b '!$G$41),0+(('B1b '!$H$41-'B1b '!$H$40)/('B1b '!$G$41-'B1b '!$G$40))*(L206-'B1b '!$G$40),0))</f>
        <v>0</v>
      </c>
      <c r="N206" s="581"/>
      <c r="O206" s="581"/>
      <c r="P206" s="581"/>
      <c r="Q206" s="579"/>
    </row>
    <row r="207" spans="2:17">
      <c r="B207" s="579"/>
      <c r="C207" s="581"/>
      <c r="D207" s="581"/>
      <c r="E207" s="581"/>
      <c r="F207" s="581"/>
      <c r="G207" s="581"/>
      <c r="H207" s="581"/>
      <c r="I207" s="581"/>
      <c r="J207" s="581"/>
      <c r="K207" s="581"/>
      <c r="L207" s="650">
        <v>113</v>
      </c>
      <c r="M207" s="585">
        <f>IF(L207&lt;='B1b '!$G$41,'B1b '!$H$41,IF(AND(L207&lt;='B1b '!$G$40,L207&gt;'B1b '!$G$41),0+(('B1b '!$H$41-'B1b '!$H$40)/('B1b '!$G$41-'B1b '!$G$40))*(L207-'B1b '!$G$40),0))</f>
        <v>0</v>
      </c>
      <c r="N207" s="581"/>
      <c r="O207" s="581"/>
      <c r="P207" s="581"/>
      <c r="Q207" s="579"/>
    </row>
    <row r="208" spans="2:17">
      <c r="B208" s="579"/>
      <c r="C208" s="581"/>
      <c r="D208" s="581"/>
      <c r="E208" s="581"/>
      <c r="F208" s="581"/>
      <c r="G208" s="581"/>
      <c r="H208" s="581"/>
      <c r="I208" s="581"/>
      <c r="J208" s="581"/>
      <c r="K208" s="581"/>
      <c r="L208" s="650">
        <v>114</v>
      </c>
      <c r="M208" s="585">
        <f>IF(L208&lt;='B1b '!$G$41,'B1b '!$H$41,IF(AND(L208&lt;='B1b '!$G$40,L208&gt;'B1b '!$G$41),0+(('B1b '!$H$41-'B1b '!$H$40)/('B1b '!$G$41-'B1b '!$G$40))*(L208-'B1b '!$G$40),0))</f>
        <v>0</v>
      </c>
      <c r="N208" s="581"/>
      <c r="O208" s="581"/>
      <c r="P208" s="581"/>
      <c r="Q208" s="579"/>
    </row>
    <row r="209" spans="2:17">
      <c r="B209" s="579"/>
      <c r="C209" s="581"/>
      <c r="D209" s="581"/>
      <c r="E209" s="581"/>
      <c r="F209" s="581"/>
      <c r="G209" s="581"/>
      <c r="H209" s="581"/>
      <c r="I209" s="581"/>
      <c r="J209" s="581"/>
      <c r="K209" s="581"/>
      <c r="L209" s="650">
        <v>115</v>
      </c>
      <c r="M209" s="585">
        <f>IF(L209&lt;='B1b '!$G$41,'B1b '!$H$41,IF(AND(L209&lt;='B1b '!$G$40,L209&gt;'B1b '!$G$41),0+(('B1b '!$H$41-'B1b '!$H$40)/('B1b '!$G$41-'B1b '!$G$40))*(L209-'B1b '!$G$40),0))</f>
        <v>0</v>
      </c>
      <c r="N209" s="581"/>
      <c r="O209" s="581"/>
      <c r="P209" s="581"/>
      <c r="Q209" s="579"/>
    </row>
    <row r="210" spans="2:17">
      <c r="B210" s="579"/>
      <c r="C210" s="581"/>
      <c r="D210" s="581"/>
      <c r="E210" s="581"/>
      <c r="F210" s="581"/>
      <c r="G210" s="581"/>
      <c r="H210" s="581"/>
      <c r="I210" s="581"/>
      <c r="J210" s="581"/>
      <c r="K210" s="581"/>
      <c r="L210" s="650">
        <v>116</v>
      </c>
      <c r="M210" s="585">
        <f>IF(L210&lt;='B1b '!$G$41,'B1b '!$H$41,IF(AND(L210&lt;='B1b '!$G$40,L210&gt;'B1b '!$G$41),0+(('B1b '!$H$41-'B1b '!$H$40)/('B1b '!$G$41-'B1b '!$G$40))*(L210-'B1b '!$G$40),0))</f>
        <v>0</v>
      </c>
      <c r="N210" s="581"/>
      <c r="O210" s="581"/>
      <c r="P210" s="581"/>
      <c r="Q210" s="579"/>
    </row>
    <row r="211" spans="2:17">
      <c r="B211" s="579"/>
      <c r="C211" s="581"/>
      <c r="D211" s="581"/>
      <c r="E211" s="581"/>
      <c r="F211" s="581"/>
      <c r="G211" s="581"/>
      <c r="H211" s="581"/>
      <c r="I211" s="581"/>
      <c r="J211" s="581"/>
      <c r="K211" s="581"/>
      <c r="L211" s="650">
        <v>117</v>
      </c>
      <c r="M211" s="585">
        <f>IF(L211&lt;='B1b '!$G$41,'B1b '!$H$41,IF(AND(L211&lt;='B1b '!$G$40,L211&gt;'B1b '!$G$41),0+(('B1b '!$H$41-'B1b '!$H$40)/('B1b '!$G$41-'B1b '!$G$40))*(L211-'B1b '!$G$40),0))</f>
        <v>0</v>
      </c>
      <c r="N211" s="581"/>
      <c r="O211" s="581"/>
      <c r="P211" s="581"/>
      <c r="Q211" s="579"/>
    </row>
    <row r="212" spans="2:17">
      <c r="B212" s="579"/>
      <c r="C212" s="581"/>
      <c r="D212" s="581"/>
      <c r="E212" s="581"/>
      <c r="F212" s="581"/>
      <c r="G212" s="581"/>
      <c r="H212" s="581"/>
      <c r="I212" s="581"/>
      <c r="J212" s="581"/>
      <c r="K212" s="581"/>
      <c r="L212" s="650">
        <v>118</v>
      </c>
      <c r="M212" s="585">
        <f>IF(L212&lt;='B1b '!$G$41,'B1b '!$H$41,IF(AND(L212&lt;='B1b '!$G$40,L212&gt;'B1b '!$G$41),0+(('B1b '!$H$41-'B1b '!$H$40)/('B1b '!$G$41-'B1b '!$G$40))*(L212-'B1b '!$G$40),0))</f>
        <v>0</v>
      </c>
      <c r="N212" s="581"/>
      <c r="O212" s="581"/>
      <c r="P212" s="581"/>
      <c r="Q212" s="579"/>
    </row>
    <row r="213" spans="2:17">
      <c r="B213" s="579"/>
      <c r="C213" s="581"/>
      <c r="D213" s="581"/>
      <c r="E213" s="581"/>
      <c r="F213" s="581"/>
      <c r="G213" s="581"/>
      <c r="H213" s="581"/>
      <c r="I213" s="581"/>
      <c r="J213" s="581"/>
      <c r="K213" s="581"/>
      <c r="L213" s="650">
        <v>119</v>
      </c>
      <c r="M213" s="585">
        <f>IF(L213&lt;='B1b '!$G$41,'B1b '!$H$41,IF(AND(L213&lt;='B1b '!$G$40,L213&gt;'B1b '!$G$41),0+(('B1b '!$H$41-'B1b '!$H$40)/('B1b '!$G$41-'B1b '!$G$40))*(L213-'B1b '!$G$40),0))</f>
        <v>0</v>
      </c>
      <c r="N213" s="581"/>
      <c r="O213" s="581"/>
      <c r="P213" s="581"/>
      <c r="Q213" s="579"/>
    </row>
    <row r="214" spans="2:17">
      <c r="B214" s="579"/>
      <c r="C214" s="581"/>
      <c r="D214" s="581"/>
      <c r="E214" s="581"/>
      <c r="F214" s="581"/>
      <c r="G214" s="581"/>
      <c r="H214" s="581"/>
      <c r="I214" s="581"/>
      <c r="J214" s="581"/>
      <c r="K214" s="581"/>
      <c r="L214" s="650">
        <v>120</v>
      </c>
      <c r="M214" s="585">
        <f>IF(L214&lt;='B1b '!$G$41,'B1b '!$H$41,IF(AND(L214&lt;='B1b '!$G$40,L214&gt;'B1b '!$G$41),0+(('B1b '!$H$41-'B1b '!$H$40)/('B1b '!$G$41-'B1b '!$G$40))*(L214-'B1b '!$G$40),0))</f>
        <v>0</v>
      </c>
      <c r="N214" s="581"/>
      <c r="O214" s="581"/>
      <c r="P214" s="581"/>
      <c r="Q214" s="579"/>
    </row>
    <row r="215" spans="2:17">
      <c r="B215" s="579"/>
      <c r="C215" s="581"/>
      <c r="D215" s="581"/>
      <c r="E215" s="581"/>
      <c r="F215" s="581"/>
      <c r="G215" s="581"/>
      <c r="H215" s="581"/>
      <c r="I215" s="581"/>
      <c r="J215" s="581"/>
      <c r="K215" s="581"/>
      <c r="L215" s="650">
        <v>121</v>
      </c>
      <c r="M215" s="585">
        <f>IF(L215&lt;='B1b '!$G$41,'B1b '!$H$41,IF(AND(L215&lt;='B1b '!$G$40,L215&gt;'B1b '!$G$41),0+(('B1b '!$H$41-'B1b '!$H$40)/('B1b '!$G$41-'B1b '!$G$40))*(L215-'B1b '!$G$40),0))</f>
        <v>0</v>
      </c>
      <c r="N215" s="581"/>
      <c r="O215" s="581"/>
      <c r="P215" s="581"/>
      <c r="Q215" s="579"/>
    </row>
    <row r="216" spans="2:17">
      <c r="B216" s="579"/>
      <c r="C216" s="581"/>
      <c r="D216" s="581"/>
      <c r="E216" s="581"/>
      <c r="F216" s="581"/>
      <c r="G216" s="581"/>
      <c r="H216" s="581"/>
      <c r="I216" s="581"/>
      <c r="J216" s="581"/>
      <c r="K216" s="581"/>
      <c r="L216" s="650">
        <v>122</v>
      </c>
      <c r="M216" s="585">
        <f>IF(L216&lt;='B1b '!$G$41,'B1b '!$H$41,IF(AND(L216&lt;='B1b '!$G$40,L216&gt;'B1b '!$G$41),0+(('B1b '!$H$41-'B1b '!$H$40)/('B1b '!$G$41-'B1b '!$G$40))*(L216-'B1b '!$G$40),0))</f>
        <v>0</v>
      </c>
      <c r="N216" s="581"/>
      <c r="O216" s="581"/>
      <c r="P216" s="581"/>
      <c r="Q216" s="579"/>
    </row>
    <row r="217" spans="2:17">
      <c r="B217" s="579"/>
      <c r="C217" s="581"/>
      <c r="D217" s="581"/>
      <c r="E217" s="581"/>
      <c r="F217" s="581"/>
      <c r="G217" s="581"/>
      <c r="H217" s="581"/>
      <c r="I217" s="581"/>
      <c r="J217" s="581"/>
      <c r="K217" s="581"/>
      <c r="L217" s="650">
        <v>123</v>
      </c>
      <c r="M217" s="585">
        <f>IF(L217&lt;='B1b '!$G$41,'B1b '!$H$41,IF(AND(L217&lt;='B1b '!$G$40,L217&gt;'B1b '!$G$41),0+(('B1b '!$H$41-'B1b '!$H$40)/('B1b '!$G$41-'B1b '!$G$40))*(L217-'B1b '!$G$40),0))</f>
        <v>0</v>
      </c>
      <c r="N217" s="581"/>
      <c r="O217" s="581"/>
      <c r="P217" s="581"/>
      <c r="Q217" s="579"/>
    </row>
    <row r="218" spans="2:17">
      <c r="B218" s="579"/>
      <c r="C218" s="581"/>
      <c r="D218" s="581"/>
      <c r="E218" s="581"/>
      <c r="F218" s="581"/>
      <c r="G218" s="581"/>
      <c r="H218" s="581"/>
      <c r="I218" s="581"/>
      <c r="J218" s="581"/>
      <c r="K218" s="581"/>
      <c r="L218" s="650">
        <v>124</v>
      </c>
      <c r="M218" s="585">
        <f>IF(L218&lt;='B1b '!$G$41,'B1b '!$H$41,IF(AND(L218&lt;='B1b '!$G$40,L218&gt;'B1b '!$G$41),0+(('B1b '!$H$41-'B1b '!$H$40)/('B1b '!$G$41-'B1b '!$G$40))*(L218-'B1b '!$G$40),0))</f>
        <v>0</v>
      </c>
      <c r="N218" s="581"/>
      <c r="O218" s="581"/>
      <c r="P218" s="581"/>
      <c r="Q218" s="579"/>
    </row>
    <row r="219" spans="2:17">
      <c r="B219" s="579"/>
      <c r="C219" s="581"/>
      <c r="D219" s="581"/>
      <c r="E219" s="581"/>
      <c r="F219" s="581"/>
      <c r="G219" s="581"/>
      <c r="H219" s="581"/>
      <c r="I219" s="581"/>
      <c r="J219" s="581"/>
      <c r="K219" s="581"/>
      <c r="L219" s="650">
        <v>125</v>
      </c>
      <c r="M219" s="585">
        <f>IF(L219&lt;='B1b '!$G$41,'B1b '!$H$41,IF(AND(L219&lt;='B1b '!$G$40,L219&gt;'B1b '!$G$41),0+(('B1b '!$H$41-'B1b '!$H$40)/('B1b '!$G$41-'B1b '!$G$40))*(L219-'B1b '!$G$40),0))</f>
        <v>0</v>
      </c>
      <c r="N219" s="581"/>
      <c r="O219" s="581"/>
      <c r="P219" s="581"/>
      <c r="Q219" s="579"/>
    </row>
    <row r="220" spans="2:17">
      <c r="B220" s="579"/>
      <c r="C220" s="581"/>
      <c r="D220" s="581"/>
      <c r="E220" s="581"/>
      <c r="F220" s="581"/>
      <c r="G220" s="581"/>
      <c r="H220" s="581"/>
      <c r="I220" s="581"/>
      <c r="J220" s="581"/>
      <c r="K220" s="581"/>
      <c r="L220" s="650">
        <v>126</v>
      </c>
      <c r="M220" s="585">
        <f>IF(L220&lt;='B1b '!$G$41,'B1b '!$H$41,IF(AND(L220&lt;='B1b '!$G$40,L220&gt;'B1b '!$G$41),0+(('B1b '!$H$41-'B1b '!$H$40)/('B1b '!$G$41-'B1b '!$G$40))*(L220-'B1b '!$G$40),0))</f>
        <v>0</v>
      </c>
      <c r="N220" s="581"/>
      <c r="O220" s="581"/>
      <c r="P220" s="581"/>
      <c r="Q220" s="579"/>
    </row>
    <row r="221" spans="2:17">
      <c r="B221" s="579"/>
      <c r="C221" s="581"/>
      <c r="D221" s="581"/>
      <c r="E221" s="581"/>
      <c r="F221" s="581"/>
      <c r="G221" s="581"/>
      <c r="H221" s="581"/>
      <c r="I221" s="581"/>
      <c r="J221" s="581"/>
      <c r="K221" s="581"/>
      <c r="L221" s="650">
        <v>127</v>
      </c>
      <c r="M221" s="585">
        <f>IF(L221&lt;='B1b '!$G$41,'B1b '!$H$41,IF(AND(L221&lt;='B1b '!$G$40,L221&gt;'B1b '!$G$41),0+(('B1b '!$H$41-'B1b '!$H$40)/('B1b '!$G$41-'B1b '!$G$40))*(L221-'B1b '!$G$40),0))</f>
        <v>0</v>
      </c>
      <c r="N221" s="581"/>
      <c r="O221" s="581"/>
      <c r="P221" s="581"/>
      <c r="Q221" s="579"/>
    </row>
    <row r="222" spans="2:17">
      <c r="B222" s="579"/>
      <c r="C222" s="581"/>
      <c r="D222" s="581"/>
      <c r="E222" s="581"/>
      <c r="F222" s="581"/>
      <c r="G222" s="581"/>
      <c r="H222" s="581"/>
      <c r="I222" s="581"/>
      <c r="J222" s="581"/>
      <c r="K222" s="581"/>
      <c r="L222" s="650">
        <v>128</v>
      </c>
      <c r="M222" s="585">
        <f>IF(L222&lt;='B1b '!$G$41,'B1b '!$H$41,IF(AND(L222&lt;='B1b '!$G$40,L222&gt;'B1b '!$G$41),0+(('B1b '!$H$41-'B1b '!$H$40)/('B1b '!$G$41-'B1b '!$G$40))*(L222-'B1b '!$G$40),0))</f>
        <v>0</v>
      </c>
      <c r="N222" s="581"/>
      <c r="O222" s="581"/>
      <c r="P222" s="581"/>
      <c r="Q222" s="579"/>
    </row>
    <row r="223" spans="2:17">
      <c r="B223" s="579"/>
      <c r="C223" s="581"/>
      <c r="D223" s="581"/>
      <c r="E223" s="581"/>
      <c r="F223" s="581"/>
      <c r="G223" s="581"/>
      <c r="H223" s="581"/>
      <c r="I223" s="581"/>
      <c r="J223" s="581"/>
      <c r="K223" s="581"/>
      <c r="L223" s="650">
        <v>129</v>
      </c>
      <c r="M223" s="585">
        <f>IF(L223&lt;='B1b '!$G$41,'B1b '!$H$41,IF(AND(L223&lt;='B1b '!$G$40,L223&gt;'B1b '!$G$41),0+(('B1b '!$H$41-'B1b '!$H$40)/('B1b '!$G$41-'B1b '!$G$40))*(L223-'B1b '!$G$40),0))</f>
        <v>0</v>
      </c>
      <c r="N223" s="581"/>
      <c r="O223" s="581"/>
      <c r="P223" s="581"/>
      <c r="Q223" s="579"/>
    </row>
    <row r="224" spans="2:17">
      <c r="B224" s="579"/>
      <c r="C224" s="581"/>
      <c r="D224" s="581"/>
      <c r="E224" s="581"/>
      <c r="F224" s="581"/>
      <c r="G224" s="581"/>
      <c r="H224" s="581"/>
      <c r="I224" s="581"/>
      <c r="J224" s="581"/>
      <c r="K224" s="581"/>
      <c r="L224" s="650">
        <v>130</v>
      </c>
      <c r="M224" s="585">
        <f>IF(L224&lt;='B1b '!$G$41,'B1b '!$H$41,IF(AND(L224&lt;='B1b '!$G$40,L224&gt;'B1b '!$G$41),0+(('B1b '!$H$41-'B1b '!$H$40)/('B1b '!$G$41-'B1b '!$G$40))*(L224-'B1b '!$G$40),0))</f>
        <v>0</v>
      </c>
      <c r="N224" s="581"/>
      <c r="O224" s="581"/>
      <c r="P224" s="581"/>
      <c r="Q224" s="579"/>
    </row>
    <row r="225" spans="2:17">
      <c r="B225" s="579"/>
      <c r="C225" s="581"/>
      <c r="D225" s="581"/>
      <c r="E225" s="581"/>
      <c r="F225" s="581"/>
      <c r="G225" s="581"/>
      <c r="H225" s="581"/>
      <c r="I225" s="581"/>
      <c r="J225" s="581"/>
      <c r="K225" s="581"/>
      <c r="L225" s="650">
        <v>131</v>
      </c>
      <c r="M225" s="585">
        <f>IF(L225&lt;='B1b '!$G$41,'B1b '!$H$41,IF(AND(L225&lt;='B1b '!$G$40,L225&gt;'B1b '!$G$41),0+(('B1b '!$H$41-'B1b '!$H$40)/('B1b '!$G$41-'B1b '!$G$40))*(L225-'B1b '!$G$40),0))</f>
        <v>0</v>
      </c>
      <c r="N225" s="581"/>
      <c r="O225" s="581"/>
      <c r="P225" s="581"/>
      <c r="Q225" s="579"/>
    </row>
    <row r="226" spans="2:17">
      <c r="B226" s="579"/>
      <c r="C226" s="581"/>
      <c r="D226" s="581"/>
      <c r="E226" s="581"/>
      <c r="F226" s="581"/>
      <c r="G226" s="581"/>
      <c r="H226" s="581"/>
      <c r="I226" s="581"/>
      <c r="J226" s="581"/>
      <c r="K226" s="581"/>
      <c r="L226" s="650">
        <v>132</v>
      </c>
      <c r="M226" s="585">
        <f>IF(L226&lt;='B1b '!$G$41,'B1b '!$H$41,IF(AND(L226&lt;='B1b '!$G$40,L226&gt;'B1b '!$G$41),0+(('B1b '!$H$41-'B1b '!$H$40)/('B1b '!$G$41-'B1b '!$G$40))*(L226-'B1b '!$G$40),0))</f>
        <v>0</v>
      </c>
      <c r="N226" s="581"/>
      <c r="O226" s="581"/>
      <c r="P226" s="581"/>
      <c r="Q226" s="579"/>
    </row>
    <row r="227" spans="2:17">
      <c r="B227" s="579"/>
      <c r="C227" s="581"/>
      <c r="D227" s="581"/>
      <c r="E227" s="581"/>
      <c r="F227" s="581"/>
      <c r="G227" s="581"/>
      <c r="H227" s="581"/>
      <c r="I227" s="581"/>
      <c r="J227" s="581"/>
      <c r="K227" s="581"/>
      <c r="L227" s="650">
        <v>133</v>
      </c>
      <c r="M227" s="585">
        <f>IF(L227&lt;='B1b '!$G$41,'B1b '!$H$41,IF(AND(L227&lt;='B1b '!$G$40,L227&gt;'B1b '!$G$41),0+(('B1b '!$H$41-'B1b '!$H$40)/('B1b '!$G$41-'B1b '!$G$40))*(L227-'B1b '!$G$40),0))</f>
        <v>0</v>
      </c>
      <c r="N227" s="581"/>
      <c r="O227" s="581"/>
      <c r="P227" s="581"/>
      <c r="Q227" s="579"/>
    </row>
    <row r="228" spans="2:17">
      <c r="B228" s="579"/>
      <c r="C228" s="581"/>
      <c r="D228" s="581"/>
      <c r="E228" s="581"/>
      <c r="F228" s="581"/>
      <c r="G228" s="581"/>
      <c r="H228" s="581"/>
      <c r="I228" s="581"/>
      <c r="J228" s="581"/>
      <c r="K228" s="581"/>
      <c r="L228" s="650">
        <v>134</v>
      </c>
      <c r="M228" s="585">
        <f>IF(L228&lt;='B1b '!$G$41,'B1b '!$H$41,IF(AND(L228&lt;='B1b '!$G$40,L228&gt;'B1b '!$G$41),0+(('B1b '!$H$41-'B1b '!$H$40)/('B1b '!$G$41-'B1b '!$G$40))*(L228-'B1b '!$G$40),0))</f>
        <v>0</v>
      </c>
      <c r="N228" s="581"/>
      <c r="O228" s="581"/>
      <c r="P228" s="581"/>
      <c r="Q228" s="579"/>
    </row>
    <row r="229" spans="2:17">
      <c r="B229" s="579"/>
      <c r="C229" s="581"/>
      <c r="D229" s="581"/>
      <c r="E229" s="581"/>
      <c r="F229" s="581"/>
      <c r="G229" s="581"/>
      <c r="H229" s="581"/>
      <c r="I229" s="581"/>
      <c r="J229" s="581"/>
      <c r="K229" s="581"/>
      <c r="L229" s="650">
        <v>135</v>
      </c>
      <c r="M229" s="585">
        <f>IF(L229&lt;='B1b '!$G$41,'B1b '!$H$41,IF(AND(L229&lt;='B1b '!$G$40,L229&gt;'B1b '!$G$41),0+(('B1b '!$H$41-'B1b '!$H$40)/('B1b '!$G$41-'B1b '!$G$40))*(L229-'B1b '!$G$40),0))</f>
        <v>0</v>
      </c>
      <c r="N229" s="581"/>
      <c r="O229" s="581"/>
      <c r="P229" s="581"/>
      <c r="Q229" s="579"/>
    </row>
    <row r="230" spans="2:17">
      <c r="B230" s="579"/>
      <c r="C230" s="581"/>
      <c r="D230" s="581"/>
      <c r="E230" s="581"/>
      <c r="F230" s="581"/>
      <c r="G230" s="581"/>
      <c r="H230" s="581"/>
      <c r="I230" s="581"/>
      <c r="J230" s="581"/>
      <c r="K230" s="581"/>
      <c r="L230" s="650">
        <v>136</v>
      </c>
      <c r="M230" s="585">
        <f>IF(L230&lt;='B1b '!$G$41,'B1b '!$H$41,IF(AND(L230&lt;='B1b '!$G$40,L230&gt;'B1b '!$G$41),0+(('B1b '!$H$41-'B1b '!$H$40)/('B1b '!$G$41-'B1b '!$G$40))*(L230-'B1b '!$G$40),0))</f>
        <v>0</v>
      </c>
      <c r="N230" s="581"/>
      <c r="O230" s="581"/>
      <c r="P230" s="581"/>
      <c r="Q230" s="579"/>
    </row>
    <row r="231" spans="2:17">
      <c r="B231" s="579"/>
      <c r="C231" s="581"/>
      <c r="D231" s="581"/>
      <c r="E231" s="581"/>
      <c r="F231" s="581"/>
      <c r="G231" s="581"/>
      <c r="H231" s="581"/>
      <c r="I231" s="581"/>
      <c r="J231" s="581"/>
      <c r="K231" s="581"/>
      <c r="L231" s="650">
        <v>137</v>
      </c>
      <c r="M231" s="585">
        <f>IF(L231&lt;='B1b '!$G$41,'B1b '!$H$41,IF(AND(L231&lt;='B1b '!$G$40,L231&gt;'B1b '!$G$41),0+(('B1b '!$H$41-'B1b '!$H$40)/('B1b '!$G$41-'B1b '!$G$40))*(L231-'B1b '!$G$40),0))</f>
        <v>0</v>
      </c>
      <c r="N231" s="581"/>
      <c r="O231" s="581"/>
      <c r="P231" s="581"/>
      <c r="Q231" s="579"/>
    </row>
    <row r="232" spans="2:17">
      <c r="B232" s="579"/>
      <c r="C232" s="581"/>
      <c r="D232" s="581"/>
      <c r="E232" s="581"/>
      <c r="F232" s="581"/>
      <c r="G232" s="581"/>
      <c r="H232" s="581"/>
      <c r="I232" s="581"/>
      <c r="J232" s="581"/>
      <c r="K232" s="581"/>
      <c r="L232" s="650">
        <v>138</v>
      </c>
      <c r="M232" s="585">
        <f>IF(L232&lt;='B1b '!$G$41,'B1b '!$H$41,IF(AND(L232&lt;='B1b '!$G$40,L232&gt;'B1b '!$G$41),0+(('B1b '!$H$41-'B1b '!$H$40)/('B1b '!$G$41-'B1b '!$G$40))*(L232-'B1b '!$G$40),0))</f>
        <v>0</v>
      </c>
      <c r="N232" s="581"/>
      <c r="O232" s="581"/>
      <c r="P232" s="581"/>
      <c r="Q232" s="579"/>
    </row>
    <row r="233" spans="2:17">
      <c r="B233" s="579"/>
      <c r="C233" s="581"/>
      <c r="D233" s="581"/>
      <c r="E233" s="581"/>
      <c r="F233" s="581"/>
      <c r="G233" s="581"/>
      <c r="H233" s="581"/>
      <c r="I233" s="581"/>
      <c r="J233" s="581"/>
      <c r="K233" s="581"/>
      <c r="L233" s="650">
        <v>139</v>
      </c>
      <c r="M233" s="585">
        <f>IF(L233&lt;='B1b '!$G$41,'B1b '!$H$41,IF(AND(L233&lt;='B1b '!$G$40,L233&gt;'B1b '!$G$41),0+(('B1b '!$H$41-'B1b '!$H$40)/('B1b '!$G$41-'B1b '!$G$40))*(L233-'B1b '!$G$40),0))</f>
        <v>0</v>
      </c>
      <c r="N233" s="581"/>
      <c r="O233" s="581"/>
      <c r="P233" s="581"/>
      <c r="Q233" s="579"/>
    </row>
    <row r="234" spans="2:17">
      <c r="B234" s="579"/>
      <c r="C234" s="581"/>
      <c r="D234" s="581"/>
      <c r="E234" s="581"/>
      <c r="F234" s="581"/>
      <c r="G234" s="581"/>
      <c r="H234" s="581"/>
      <c r="I234" s="581"/>
      <c r="J234" s="581"/>
      <c r="K234" s="581"/>
      <c r="L234" s="650">
        <v>140</v>
      </c>
      <c r="M234" s="585">
        <f>IF(L234&lt;='B1b '!$G$41,'B1b '!$H$41,IF(AND(L234&lt;='B1b '!$G$40,L234&gt;'B1b '!$G$41),0+(('B1b '!$H$41-'B1b '!$H$40)/('B1b '!$G$41-'B1b '!$G$40))*(L234-'B1b '!$G$40),0))</f>
        <v>0</v>
      </c>
      <c r="N234" s="581"/>
      <c r="O234" s="581"/>
      <c r="P234" s="581"/>
      <c r="Q234" s="579"/>
    </row>
    <row r="235" spans="2:17">
      <c r="B235" s="579"/>
      <c r="C235" s="581"/>
      <c r="D235" s="581"/>
      <c r="E235" s="581"/>
      <c r="F235" s="581"/>
      <c r="G235" s="581"/>
      <c r="H235" s="581"/>
      <c r="I235" s="581"/>
      <c r="J235" s="581"/>
      <c r="K235" s="581"/>
      <c r="L235" s="650">
        <v>141</v>
      </c>
      <c r="M235" s="585">
        <f>IF(L235&lt;='B1b '!$G$41,'B1b '!$H$41,IF(AND(L235&lt;='B1b '!$G$40,L235&gt;'B1b '!$G$41),0+(('B1b '!$H$41-'B1b '!$H$40)/('B1b '!$G$41-'B1b '!$G$40))*(L235-'B1b '!$G$40),0))</f>
        <v>0</v>
      </c>
      <c r="N235" s="581"/>
      <c r="O235" s="581"/>
      <c r="P235" s="581"/>
      <c r="Q235" s="579"/>
    </row>
    <row r="236" spans="2:17">
      <c r="B236" s="579"/>
      <c r="C236" s="581"/>
      <c r="D236" s="581"/>
      <c r="E236" s="581"/>
      <c r="F236" s="581"/>
      <c r="G236" s="581"/>
      <c r="H236" s="581"/>
      <c r="I236" s="581"/>
      <c r="J236" s="581"/>
      <c r="K236" s="581"/>
      <c r="L236" s="650">
        <v>142</v>
      </c>
      <c r="M236" s="585">
        <f>IF(L236&lt;='B1b '!$G$41,'B1b '!$H$41,IF(AND(L236&lt;='B1b '!$G$40,L236&gt;'B1b '!$G$41),0+(('B1b '!$H$41-'B1b '!$H$40)/('B1b '!$G$41-'B1b '!$G$40))*(L236-'B1b '!$G$40),0))</f>
        <v>0</v>
      </c>
      <c r="N236" s="581"/>
      <c r="O236" s="581"/>
      <c r="P236" s="581"/>
      <c r="Q236" s="579"/>
    </row>
    <row r="237" spans="2:17">
      <c r="B237" s="579"/>
      <c r="C237" s="581"/>
      <c r="D237" s="581"/>
      <c r="E237" s="581"/>
      <c r="F237" s="581"/>
      <c r="G237" s="581"/>
      <c r="H237" s="581"/>
      <c r="I237" s="581"/>
      <c r="J237" s="581"/>
      <c r="K237" s="581"/>
      <c r="L237" s="650">
        <v>143</v>
      </c>
      <c r="M237" s="585">
        <f>IF(L237&lt;='B1b '!$G$41,'B1b '!$H$41,IF(AND(L237&lt;='B1b '!$G$40,L237&gt;'B1b '!$G$41),0+(('B1b '!$H$41-'B1b '!$H$40)/('B1b '!$G$41-'B1b '!$G$40))*(L237-'B1b '!$G$40),0))</f>
        <v>0</v>
      </c>
      <c r="N237" s="581"/>
      <c r="O237" s="581"/>
      <c r="P237" s="581"/>
      <c r="Q237" s="579"/>
    </row>
    <row r="238" spans="2:17">
      <c r="B238" s="579"/>
      <c r="C238" s="581"/>
      <c r="D238" s="581"/>
      <c r="E238" s="581"/>
      <c r="F238" s="581"/>
      <c r="G238" s="581"/>
      <c r="H238" s="581"/>
      <c r="I238" s="581"/>
      <c r="J238" s="581"/>
      <c r="K238" s="581"/>
      <c r="L238" s="650">
        <v>144</v>
      </c>
      <c r="M238" s="585">
        <f>IF(L238&lt;='B1b '!$G$41,'B1b '!$H$41,IF(AND(L238&lt;='B1b '!$G$40,L238&gt;'B1b '!$G$41),0+(('B1b '!$H$41-'B1b '!$H$40)/('B1b '!$G$41-'B1b '!$G$40))*(L238-'B1b '!$G$40),0))</f>
        <v>0</v>
      </c>
      <c r="N238" s="581"/>
      <c r="O238" s="581"/>
      <c r="P238" s="581"/>
      <c r="Q238" s="579"/>
    </row>
    <row r="239" spans="2:17">
      <c r="B239" s="579"/>
      <c r="C239" s="581"/>
      <c r="D239" s="581"/>
      <c r="E239" s="581"/>
      <c r="F239" s="581"/>
      <c r="G239" s="581"/>
      <c r="H239" s="581"/>
      <c r="I239" s="581"/>
      <c r="J239" s="581"/>
      <c r="K239" s="581"/>
      <c r="L239" s="650">
        <v>145</v>
      </c>
      <c r="M239" s="585">
        <f>IF(L239&lt;='B1b '!$G$41,'B1b '!$H$41,IF(AND(L239&lt;='B1b '!$G$40,L239&gt;'B1b '!$G$41),0+(('B1b '!$H$41-'B1b '!$H$40)/('B1b '!$G$41-'B1b '!$G$40))*(L239-'B1b '!$G$40),0))</f>
        <v>0</v>
      </c>
      <c r="N239" s="581"/>
      <c r="O239" s="581"/>
      <c r="P239" s="581"/>
      <c r="Q239" s="579"/>
    </row>
    <row r="240" spans="2:17">
      <c r="B240" s="579"/>
      <c r="C240" s="581"/>
      <c r="D240" s="581"/>
      <c r="E240" s="581"/>
      <c r="F240" s="581"/>
      <c r="G240" s="581"/>
      <c r="H240" s="581"/>
      <c r="I240" s="581"/>
      <c r="J240" s="581"/>
      <c r="K240" s="581"/>
      <c r="L240" s="650">
        <v>146</v>
      </c>
      <c r="M240" s="585">
        <f>IF(L240&lt;='B1b '!$G$41,'B1b '!$H$41,IF(AND(L240&lt;='B1b '!$G$40,L240&gt;'B1b '!$G$41),0+(('B1b '!$H$41-'B1b '!$H$40)/('B1b '!$G$41-'B1b '!$G$40))*(L240-'B1b '!$G$40),0))</f>
        <v>0</v>
      </c>
      <c r="N240" s="581"/>
      <c r="O240" s="581"/>
      <c r="P240" s="581"/>
      <c r="Q240" s="579"/>
    </row>
    <row r="241" spans="2:17">
      <c r="B241" s="579"/>
      <c r="C241" s="581"/>
      <c r="D241" s="581"/>
      <c r="E241" s="581"/>
      <c r="F241" s="581"/>
      <c r="G241" s="581"/>
      <c r="H241" s="581"/>
      <c r="I241" s="581"/>
      <c r="J241" s="581"/>
      <c r="K241" s="581"/>
      <c r="L241" s="650">
        <v>147</v>
      </c>
      <c r="M241" s="585">
        <f>IF(L241&lt;='B1b '!$G$41,'B1b '!$H$41,IF(AND(L241&lt;='B1b '!$G$40,L241&gt;'B1b '!$G$41),0+(('B1b '!$H$41-'B1b '!$H$40)/('B1b '!$G$41-'B1b '!$G$40))*(L241-'B1b '!$G$40),0))</f>
        <v>0</v>
      </c>
      <c r="N241" s="581"/>
      <c r="O241" s="581"/>
      <c r="P241" s="581"/>
      <c r="Q241" s="579"/>
    </row>
    <row r="242" spans="2:17">
      <c r="B242" s="579"/>
      <c r="C242" s="581"/>
      <c r="D242" s="581"/>
      <c r="E242" s="581"/>
      <c r="F242" s="581"/>
      <c r="G242" s="581"/>
      <c r="H242" s="581"/>
      <c r="I242" s="581"/>
      <c r="J242" s="581"/>
      <c r="K242" s="581"/>
      <c r="L242" s="650">
        <v>148</v>
      </c>
      <c r="M242" s="585">
        <f>IF(L242&lt;='B1b '!$G$41,'B1b '!$H$41,IF(AND(L242&lt;='B1b '!$G$40,L242&gt;'B1b '!$G$41),0+(('B1b '!$H$41-'B1b '!$H$40)/('B1b '!$G$41-'B1b '!$G$40))*(L242-'B1b '!$G$40),0))</f>
        <v>0</v>
      </c>
      <c r="N242" s="581"/>
      <c r="O242" s="581"/>
      <c r="P242" s="581"/>
      <c r="Q242" s="579"/>
    </row>
    <row r="243" spans="2:17">
      <c r="B243" s="579"/>
      <c r="C243" s="581"/>
      <c r="D243" s="581"/>
      <c r="E243" s="581"/>
      <c r="F243" s="581"/>
      <c r="G243" s="581"/>
      <c r="H243" s="581"/>
      <c r="I243" s="581"/>
      <c r="J243" s="581"/>
      <c r="K243" s="581"/>
      <c r="L243" s="650">
        <v>149</v>
      </c>
      <c r="M243" s="585">
        <f>IF(L243&lt;='B1b '!$G$41,'B1b '!$H$41,IF(AND(L243&lt;='B1b '!$G$40,L243&gt;'B1b '!$G$41),0+(('B1b '!$H$41-'B1b '!$H$40)/('B1b '!$G$41-'B1b '!$G$40))*(L243-'B1b '!$G$40),0))</f>
        <v>0</v>
      </c>
      <c r="N243" s="581"/>
      <c r="O243" s="581"/>
      <c r="P243" s="581"/>
      <c r="Q243" s="579"/>
    </row>
    <row r="244" spans="2:17">
      <c r="B244" s="579"/>
      <c r="C244" s="581"/>
      <c r="D244" s="581"/>
      <c r="E244" s="581"/>
      <c r="F244" s="581"/>
      <c r="G244" s="581"/>
      <c r="H244" s="581"/>
      <c r="I244" s="581"/>
      <c r="J244" s="581"/>
      <c r="K244" s="581"/>
      <c r="L244" s="650">
        <v>150</v>
      </c>
      <c r="M244" s="585">
        <f>IF(L244&lt;='B1b '!$G$41,'B1b '!$H$41,IF(AND(L244&lt;='B1b '!$G$40,L244&gt;'B1b '!$G$41),0+(('B1b '!$H$41-'B1b '!$H$40)/('B1b '!$G$41-'B1b '!$G$40))*(L244-'B1b '!$G$40),0))</f>
        <v>0</v>
      </c>
      <c r="N244" s="581"/>
      <c r="O244" s="581"/>
      <c r="P244" s="581"/>
      <c r="Q244" s="579"/>
    </row>
    <row r="245" spans="2:17">
      <c r="B245" s="579"/>
      <c r="C245" s="579"/>
      <c r="D245" s="579"/>
      <c r="E245" s="579"/>
      <c r="F245" s="579"/>
      <c r="G245" s="579"/>
      <c r="H245" s="579"/>
      <c r="I245" s="579"/>
      <c r="J245" s="579"/>
      <c r="K245" s="579"/>
      <c r="L245" s="579"/>
      <c r="M245" s="579"/>
      <c r="N245" s="579"/>
      <c r="O245" s="579"/>
      <c r="P245" s="579"/>
      <c r="Q245" s="579"/>
    </row>
    <row r="246" spans="2:17">
      <c r="B246" s="579"/>
      <c r="C246" s="579"/>
      <c r="D246" s="579"/>
      <c r="E246" s="579"/>
      <c r="F246" s="579"/>
      <c r="G246" s="579"/>
      <c r="H246" s="579"/>
      <c r="I246" s="579"/>
      <c r="J246" s="579"/>
      <c r="K246" s="579"/>
      <c r="L246" s="579"/>
      <c r="M246" s="579"/>
      <c r="N246" s="579"/>
      <c r="O246" s="579"/>
      <c r="P246" s="579"/>
      <c r="Q246" s="579"/>
    </row>
    <row r="247" spans="2:17">
      <c r="B247" s="579"/>
      <c r="C247" s="579"/>
      <c r="D247" s="579"/>
      <c r="E247" s="579"/>
      <c r="F247" s="579"/>
      <c r="G247" s="579"/>
      <c r="H247" s="579"/>
      <c r="I247" s="579"/>
      <c r="J247" s="579"/>
      <c r="K247" s="579"/>
      <c r="L247" s="579"/>
      <c r="M247" s="579"/>
      <c r="N247" s="579"/>
      <c r="O247" s="579"/>
      <c r="P247" s="579"/>
      <c r="Q247" s="579"/>
    </row>
  </sheetData>
  <mergeCells count="6">
    <mergeCell ref="B2:Q3"/>
    <mergeCell ref="C92:D92"/>
    <mergeCell ref="F92:G92"/>
    <mergeCell ref="I92:J92"/>
    <mergeCell ref="L92:M92"/>
    <mergeCell ref="O92:P92"/>
  </mergeCells>
  <pageMargins left="0.7" right="0.7" top="0.78740157499999996" bottom="0.78740157499999996" header="0.3" footer="0.3"/>
  <pageSetup paperSize="9" scale="2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D61"/>
  <sheetViews>
    <sheetView showGridLines="0" zoomScaleNormal="100" workbookViewId="0">
      <selection activeCell="B6" sqref="B6:C6"/>
    </sheetView>
  </sheetViews>
  <sheetFormatPr baseColWidth="10" defaultColWidth="11.42578125" defaultRowHeight="14.25"/>
  <cols>
    <col min="1" max="1" width="41" style="178" customWidth="1"/>
    <col min="2" max="3" width="11.42578125" style="178"/>
    <col min="4" max="4" width="30.7109375" style="187" customWidth="1"/>
    <col min="5" max="5" width="2.7109375" style="178" customWidth="1"/>
    <col min="6" max="16384" width="11.42578125" style="178"/>
  </cols>
  <sheetData>
    <row r="1" spans="1:4" ht="24.95" customHeight="1">
      <c r="A1" s="849" t="s">
        <v>368</v>
      </c>
      <c r="B1" s="849"/>
      <c r="C1" s="849"/>
      <c r="D1" s="165"/>
    </row>
    <row r="2" spans="1:4" ht="7.5" customHeight="1" thickBot="1">
      <c r="A2" s="598"/>
      <c r="B2" s="172"/>
      <c r="C2" s="221"/>
      <c r="D2" s="198"/>
    </row>
    <row r="3" spans="1:4" ht="24.95" customHeight="1">
      <c r="A3" s="945" t="s">
        <v>252</v>
      </c>
      <c r="B3" s="946"/>
      <c r="C3" s="947"/>
      <c r="D3" s="182" t="s">
        <v>24</v>
      </c>
    </row>
    <row r="4" spans="1:4" s="173" customFormat="1" ht="24.95" customHeight="1">
      <c r="A4" s="202" t="s">
        <v>253</v>
      </c>
      <c r="B4" s="306"/>
      <c r="C4" s="289" t="s">
        <v>212</v>
      </c>
      <c r="D4" s="671"/>
    </row>
    <row r="5" spans="1:4" s="173" customFormat="1" ht="52.5" customHeight="1">
      <c r="A5" s="202" t="s">
        <v>254</v>
      </c>
      <c r="B5" s="306"/>
      <c r="C5" s="289" t="s">
        <v>255</v>
      </c>
      <c r="D5" s="671"/>
    </row>
    <row r="6" spans="1:4" s="165" customFormat="1" ht="38.25">
      <c r="A6" s="202" t="s">
        <v>256</v>
      </c>
      <c r="B6" s="951"/>
      <c r="C6" s="952"/>
      <c r="D6" s="671"/>
    </row>
    <row r="7" spans="1:4" s="165" customFormat="1" ht="14.25" customHeight="1">
      <c r="A7" s="290"/>
      <c r="B7" s="291"/>
      <c r="C7" s="186"/>
      <c r="D7" s="198"/>
    </row>
    <row r="8" spans="1:4" s="165" customFormat="1" ht="24.95" customHeight="1">
      <c r="A8" s="948" t="s">
        <v>226</v>
      </c>
      <c r="B8" s="949"/>
      <c r="C8" s="950"/>
      <c r="D8" s="198"/>
    </row>
    <row r="9" spans="1:4" s="165" customFormat="1" ht="29.25" customHeight="1">
      <c r="A9" s="292" t="s">
        <v>257</v>
      </c>
      <c r="B9" s="305">
        <f>6*B4</f>
        <v>0</v>
      </c>
      <c r="C9" s="297" t="s">
        <v>255</v>
      </c>
    </row>
    <row r="10" spans="1:4" s="165" customFormat="1" ht="24.95" customHeight="1">
      <c r="A10" s="293" t="s">
        <v>258</v>
      </c>
      <c r="B10" s="304">
        <f>20*B4</f>
        <v>0</v>
      </c>
      <c r="C10" s="297" t="s">
        <v>255</v>
      </c>
    </row>
    <row r="11" spans="1:4" s="165" customFormat="1" ht="28.5" customHeight="1">
      <c r="A11" s="296" t="s">
        <v>259</v>
      </c>
      <c r="B11" s="295" t="str">
        <f>IF(ISNUMBER(B5),ROUND(IF(B5&lt;B9,0,IF(B5&gt;B10,10,5+(10-5)/(B10-B9)*(B5-B9))),0),"")</f>
        <v/>
      </c>
      <c r="C11" s="294"/>
    </row>
    <row r="12" spans="1:4" s="165" customFormat="1" ht="24.95" customHeight="1">
      <c r="A12" s="302"/>
      <c r="B12" s="291"/>
      <c r="C12" s="299"/>
    </row>
    <row r="13" spans="1:4" s="176" customFormat="1" ht="35.25" customHeight="1" thickBot="1">
      <c r="A13" s="303" t="s">
        <v>260</v>
      </c>
      <c r="B13" s="301" t="str">
        <f>B11</f>
        <v/>
      </c>
      <c r="C13" s="300"/>
      <c r="D13" s="165"/>
    </row>
    <row r="14" spans="1:4">
      <c r="A14" s="298"/>
    </row>
    <row r="25" ht="14.25" customHeight="1"/>
    <row r="26" ht="114.75" customHeight="1"/>
    <row r="27" ht="76.5" customHeight="1"/>
    <row r="42" ht="14.25" customHeight="1"/>
    <row r="43" ht="114.75" customHeight="1"/>
    <row r="44" ht="76.5" customHeight="1"/>
    <row r="59" ht="14.25" customHeight="1"/>
    <row r="60" ht="114.75" customHeight="1"/>
    <row r="61" ht="76.5" customHeight="1"/>
  </sheetData>
  <sheetProtection algorithmName="SHA-512" hashValue="qfSM3xdL9mCsApfApO3xrXfofnmytJhfS0ZCK50PI0Hg+Y4/lDoD86ChgwZlwnT8/5lzdhaYX4pk9dwP5dT/ig==" saltValue="PBZ3PLWOzJPjAQTnUIcR6w==" spinCount="100000" sheet="1" selectLockedCells="1"/>
  <mergeCells count="4">
    <mergeCell ref="A3:C3"/>
    <mergeCell ref="A8:C8"/>
    <mergeCell ref="A1:C1"/>
    <mergeCell ref="B6:C6"/>
  </mergeCells>
  <printOptions horizontalCentered="1"/>
  <pageMargins left="0.59055118110236227" right="0.59055118110236227" top="0.59055118110236227" bottom="0.59055118110236227"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zoomScaleNormal="100" workbookViewId="0">
      <selection activeCell="C6" sqref="C6:C9"/>
    </sheetView>
  </sheetViews>
  <sheetFormatPr baseColWidth="10" defaultColWidth="11.42578125" defaultRowHeight="12.75"/>
  <cols>
    <col min="1" max="1" width="112" style="198" customWidth="1"/>
    <col min="2" max="2" width="17.7109375" style="198" customWidth="1"/>
    <col min="3" max="3" width="17.140625" style="198" customWidth="1"/>
    <col min="4" max="4" width="0.140625" style="198" hidden="1" customWidth="1"/>
    <col min="5" max="5" width="9.5703125" style="198" hidden="1" customWidth="1"/>
    <col min="6" max="6" width="0.28515625" style="198" hidden="1" customWidth="1"/>
    <col min="7" max="7" width="0.140625" style="198" hidden="1" customWidth="1"/>
    <col min="8" max="8" width="30.7109375" style="199" customWidth="1"/>
    <col min="9" max="9" width="11.42578125" style="198"/>
    <col min="10" max="11" width="13.7109375" style="198" customWidth="1"/>
    <col min="12" max="12" width="12.140625" style="198" customWidth="1"/>
    <col min="13" max="16384" width="11.42578125" style="198"/>
  </cols>
  <sheetData>
    <row r="1" spans="1:14" s="180" customFormat="1" ht="24.95" customHeight="1">
      <c r="A1" s="849" t="s">
        <v>261</v>
      </c>
      <c r="B1" s="849"/>
      <c r="C1" s="849"/>
      <c r="D1" s="203"/>
      <c r="E1" s="203"/>
      <c r="F1" s="203"/>
      <c r="G1" s="203"/>
      <c r="H1" s="266"/>
    </row>
    <row r="2" spans="1:14" s="180" customFormat="1" ht="7.5" customHeight="1">
      <c r="A2" s="203"/>
      <c r="B2" s="203"/>
      <c r="C2" s="203"/>
      <c r="D2" s="203"/>
      <c r="E2" s="203"/>
      <c r="F2" s="203"/>
      <c r="G2" s="203"/>
      <c r="H2" s="266"/>
    </row>
    <row r="3" spans="1:14" s="180" customFormat="1" ht="41.25" customHeight="1" thickBot="1">
      <c r="A3" s="201" t="s">
        <v>262</v>
      </c>
      <c r="B3" s="203"/>
      <c r="C3" s="203"/>
      <c r="D3" s="203"/>
      <c r="E3" s="203"/>
      <c r="F3" s="203"/>
      <c r="G3" s="203"/>
      <c r="H3" s="266"/>
    </row>
    <row r="4" spans="1:14" ht="32.25" customHeight="1" thickBot="1">
      <c r="A4" s="204" t="s">
        <v>84</v>
      </c>
      <c r="B4" s="486" t="s">
        <v>263</v>
      </c>
      <c r="C4" s="502" t="s">
        <v>264</v>
      </c>
      <c r="H4" s="191" t="s">
        <v>24</v>
      </c>
      <c r="J4" s="954" t="s">
        <v>265</v>
      </c>
      <c r="K4" s="955"/>
      <c r="L4" s="955"/>
      <c r="M4" s="956"/>
    </row>
    <row r="5" spans="1:14" s="171" customFormat="1" ht="30" customHeight="1">
      <c r="A5" s="503" t="s">
        <v>266</v>
      </c>
      <c r="B5" s="504"/>
      <c r="C5" s="505"/>
      <c r="D5" s="171">
        <v>0</v>
      </c>
      <c r="H5" s="666"/>
      <c r="J5" s="957" t="s">
        <v>267</v>
      </c>
      <c r="K5" s="958"/>
      <c r="L5" s="506"/>
      <c r="M5" s="507" t="s">
        <v>268</v>
      </c>
    </row>
    <row r="6" spans="1:14" s="171" customFormat="1" ht="30" customHeight="1">
      <c r="A6" s="202" t="s">
        <v>269</v>
      </c>
      <c r="B6" s="206">
        <v>20</v>
      </c>
      <c r="C6" s="959"/>
      <c r="D6" s="171">
        <f>B6</f>
        <v>20</v>
      </c>
      <c r="H6" s="666"/>
      <c r="J6" s="962" t="s">
        <v>270</v>
      </c>
      <c r="K6" s="862"/>
      <c r="L6" s="508">
        <f>(450/2860)*L5</f>
        <v>0</v>
      </c>
      <c r="M6" s="509" t="s">
        <v>271</v>
      </c>
    </row>
    <row r="7" spans="1:14" s="171" customFormat="1" ht="30" customHeight="1" thickBot="1">
      <c r="A7" s="202" t="s">
        <v>338</v>
      </c>
      <c r="B7" s="206">
        <v>30</v>
      </c>
      <c r="C7" s="960"/>
      <c r="D7" s="171">
        <f>B7</f>
        <v>30</v>
      </c>
      <c r="H7" s="666"/>
      <c r="I7" s="510"/>
      <c r="J7" s="963" t="s">
        <v>272</v>
      </c>
      <c r="K7" s="964"/>
      <c r="L7" s="396">
        <f>L6*0.8</f>
        <v>0</v>
      </c>
      <c r="M7" s="511" t="s">
        <v>271</v>
      </c>
      <c r="N7" s="510"/>
    </row>
    <row r="8" spans="1:14" s="171" customFormat="1" ht="30" customHeight="1">
      <c r="A8" s="202" t="s">
        <v>273</v>
      </c>
      <c r="B8" s="206">
        <v>50</v>
      </c>
      <c r="C8" s="960"/>
      <c r="D8" s="171">
        <f>B8</f>
        <v>50</v>
      </c>
      <c r="H8" s="666"/>
      <c r="I8" s="510"/>
      <c r="J8" s="510"/>
      <c r="K8" s="510"/>
      <c r="L8" s="510"/>
      <c r="M8" s="510"/>
      <c r="N8" s="510"/>
    </row>
    <row r="9" spans="1:14" s="510" customFormat="1" ht="30" customHeight="1">
      <c r="A9" s="202" t="s">
        <v>274</v>
      </c>
      <c r="B9" s="276">
        <v>65</v>
      </c>
      <c r="C9" s="961"/>
      <c r="D9" s="171">
        <f>B9</f>
        <v>65</v>
      </c>
      <c r="E9" s="171"/>
      <c r="F9" s="171"/>
      <c r="G9" s="171"/>
      <c r="H9" s="666"/>
    </row>
    <row r="10" spans="1:14" s="510" customFormat="1" ht="30" customHeight="1">
      <c r="A10" s="503" t="s">
        <v>275</v>
      </c>
      <c r="B10" s="504"/>
      <c r="C10" s="505"/>
      <c r="D10" s="171"/>
      <c r="E10" s="171"/>
      <c r="F10" s="171"/>
      <c r="G10" s="171"/>
      <c r="H10" s="660"/>
    </row>
    <row r="11" spans="1:14" s="510" customFormat="1" ht="30" customHeight="1">
      <c r="A11" s="202" t="s">
        <v>276</v>
      </c>
      <c r="B11" s="276">
        <v>10</v>
      </c>
      <c r="C11" s="512"/>
      <c r="D11" s="171">
        <v>0</v>
      </c>
      <c r="E11" s="171"/>
      <c r="F11" s="171"/>
      <c r="G11" s="171"/>
      <c r="H11" s="660"/>
    </row>
    <row r="12" spans="1:14" ht="24.95" customHeight="1" thickBot="1">
      <c r="A12" s="207" t="s">
        <v>31</v>
      </c>
      <c r="B12" s="513" t="s">
        <v>277</v>
      </c>
      <c r="C12" s="208">
        <f>C6+C11</f>
        <v>0</v>
      </c>
      <c r="D12" s="171">
        <v>10</v>
      </c>
      <c r="E12" s="510"/>
      <c r="F12" s="510"/>
      <c r="H12" s="273"/>
    </row>
    <row r="13" spans="1:14">
      <c r="D13" s="171"/>
    </row>
    <row r="15" spans="1:14" ht="51" customHeight="1">
      <c r="A15" s="953" t="s">
        <v>278</v>
      </c>
      <c r="B15" s="953"/>
      <c r="C15" s="953"/>
    </row>
    <row r="18" spans="1:8" ht="40.5" customHeight="1" thickBot="1">
      <c r="A18" s="599" t="s">
        <v>376</v>
      </c>
      <c r="B18" s="600"/>
      <c r="C18" s="600"/>
      <c r="D18" s="386"/>
      <c r="E18" s="199"/>
    </row>
    <row r="19" spans="1:8" ht="30" customHeight="1">
      <c r="A19" s="204" t="s">
        <v>84</v>
      </c>
      <c r="B19" s="317" t="s">
        <v>279</v>
      </c>
      <c r="C19" s="318" t="s">
        <v>264</v>
      </c>
      <c r="E19" s="263"/>
      <c r="H19" s="191" t="s">
        <v>24</v>
      </c>
    </row>
    <row r="20" spans="1:8" ht="30" customHeight="1">
      <c r="A20" s="316" t="s">
        <v>280</v>
      </c>
      <c r="B20" s="264">
        <v>50</v>
      </c>
      <c r="C20" s="319"/>
      <c r="E20" s="202"/>
      <c r="H20" s="666"/>
    </row>
    <row r="21" spans="1:8" ht="30" customHeight="1" thickBot="1">
      <c r="A21" s="207" t="s">
        <v>31</v>
      </c>
      <c r="B21" s="514">
        <v>50</v>
      </c>
      <c r="C21" s="208">
        <f>IF(C20&gt;50,"Fehler",C20)</f>
        <v>0</v>
      </c>
      <c r="E21" s="387"/>
      <c r="H21" s="666"/>
    </row>
  </sheetData>
  <sheetProtection algorithmName="SHA-512" hashValue="ld3QhlD7PKoKm2yv5gs6xW7dzTP4Q7uVGvUr2rCp6BEnY0WFEMxqVz84RZjKWxt6M+usH19gdSDcOJo7CcMXbw==" saltValue="V917me732xAw7yWDkKedEQ==" spinCount="100000" sheet="1" selectLockedCells="1"/>
  <mergeCells count="7">
    <mergeCell ref="A15:C15"/>
    <mergeCell ref="A1:C1"/>
    <mergeCell ref="J4:M4"/>
    <mergeCell ref="J5:K5"/>
    <mergeCell ref="C6:C9"/>
    <mergeCell ref="J6:K6"/>
    <mergeCell ref="J7:K7"/>
  </mergeCells>
  <dataValidations count="2">
    <dataValidation type="list" allowBlank="1" showInputMessage="1" showErrorMessage="1" sqref="C6:C9">
      <formula1>$D$5:$D$9</formula1>
    </dataValidation>
    <dataValidation type="list" allowBlank="1" showInputMessage="1" showErrorMessage="1" sqref="C11">
      <formula1>$D$11:$D$12</formula1>
    </dataValidation>
  </dataValidations>
  <printOptions horizontalCentered="1"/>
  <pageMargins left="0.59055118110236227" right="0.59055118110236227" top="0.59055118110236227" bottom="0.59055118110236227" header="0.31496062992125984" footer="0.31496062992125984"/>
  <pageSetup paperSize="9" scale="5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G72"/>
  <sheetViews>
    <sheetView showGridLines="0" zoomScaleNormal="100" workbookViewId="0">
      <selection activeCell="C4" sqref="C4:C5"/>
    </sheetView>
  </sheetViews>
  <sheetFormatPr baseColWidth="10" defaultColWidth="11.42578125" defaultRowHeight="12.75"/>
  <cols>
    <col min="1" max="1" width="63.7109375" style="198" customWidth="1"/>
    <col min="2" max="2" width="15.7109375" style="198" customWidth="1"/>
    <col min="3" max="3" width="12.7109375" style="198" customWidth="1"/>
    <col min="4" max="4" width="13.7109375" style="198" hidden="1" customWidth="1"/>
    <col min="5" max="5" width="30.7109375" style="198" customWidth="1"/>
    <col min="6" max="6" width="30.7109375" style="209" customWidth="1"/>
    <col min="7" max="7" width="2.7109375" style="198" customWidth="1"/>
    <col min="8" max="16384" width="11.42578125" style="198"/>
  </cols>
  <sheetData>
    <row r="1" spans="1:7" ht="24.95" customHeight="1">
      <c r="A1" s="849" t="s">
        <v>281</v>
      </c>
      <c r="B1" s="849"/>
      <c r="C1" s="849"/>
      <c r="D1" s="203"/>
      <c r="E1" s="266"/>
    </row>
    <row r="2" spans="1:7" ht="24.95" customHeight="1" thickBot="1">
      <c r="A2" s="203"/>
      <c r="B2" s="203"/>
      <c r="C2" s="203"/>
      <c r="D2" s="203"/>
      <c r="E2" s="266"/>
      <c r="G2" s="171"/>
    </row>
    <row r="3" spans="1:7" s="171" customFormat="1" ht="24.95" customHeight="1">
      <c r="A3" s="204" t="s">
        <v>84</v>
      </c>
      <c r="B3" s="205" t="s">
        <v>282</v>
      </c>
      <c r="C3" s="388" t="s">
        <v>264</v>
      </c>
      <c r="D3" s="198"/>
      <c r="E3" s="191" t="s">
        <v>24</v>
      </c>
      <c r="F3" s="209"/>
    </row>
    <row r="4" spans="1:7" s="171" customFormat="1" ht="35.1" customHeight="1">
      <c r="A4" s="202" t="s">
        <v>283</v>
      </c>
      <c r="B4" s="206">
        <v>3</v>
      </c>
      <c r="C4" s="830"/>
      <c r="D4" s="171">
        <v>0</v>
      </c>
      <c r="E4" s="666"/>
      <c r="F4" s="209"/>
    </row>
    <row r="5" spans="1:7" s="171" customFormat="1" ht="24.95" customHeight="1">
      <c r="A5" s="158" t="s">
        <v>284</v>
      </c>
      <c r="B5" s="206">
        <v>10</v>
      </c>
      <c r="C5" s="832"/>
      <c r="D5" s="171">
        <v>3</v>
      </c>
      <c r="E5" s="666"/>
      <c r="F5" s="209"/>
    </row>
    <row r="6" spans="1:7" s="171" customFormat="1" ht="24.95" customHeight="1" thickBot="1">
      <c r="A6" s="207" t="s">
        <v>31</v>
      </c>
      <c r="B6" s="272"/>
      <c r="C6" s="208">
        <f>C4</f>
        <v>0</v>
      </c>
      <c r="D6" s="171">
        <v>10</v>
      </c>
      <c r="E6" s="273"/>
      <c r="F6" s="209"/>
    </row>
    <row r="7" spans="1:7" s="171" customFormat="1" ht="24.95" customHeight="1">
      <c r="A7" s="198"/>
      <c r="B7" s="198"/>
      <c r="C7" s="198"/>
      <c r="D7" s="198"/>
      <c r="E7" s="198"/>
      <c r="F7" s="209"/>
    </row>
    <row r="8" spans="1:7" s="171" customFormat="1" ht="24.95" customHeight="1">
      <c r="A8" s="198"/>
      <c r="B8" s="198"/>
      <c r="C8" s="198"/>
      <c r="D8" s="198"/>
      <c r="E8" s="198"/>
      <c r="F8" s="209"/>
    </row>
    <row r="9" spans="1:7" s="171" customFormat="1" ht="24.95" customHeight="1">
      <c r="A9" s="198"/>
      <c r="B9" s="198"/>
      <c r="C9" s="198"/>
      <c r="D9" s="198"/>
      <c r="E9" s="198"/>
      <c r="F9" s="209"/>
    </row>
    <row r="10" spans="1:7" s="171" customFormat="1" ht="24.95" customHeight="1">
      <c r="A10" s="198"/>
      <c r="B10" s="198"/>
      <c r="C10" s="198"/>
      <c r="D10" s="198"/>
      <c r="E10" s="198"/>
      <c r="F10" s="209"/>
    </row>
    <row r="11" spans="1:7" s="171" customFormat="1" ht="24.95" customHeight="1">
      <c r="A11" s="198"/>
      <c r="B11" s="198"/>
      <c r="C11" s="198"/>
      <c r="D11" s="198"/>
      <c r="E11" s="198"/>
      <c r="F11" s="209"/>
    </row>
    <row r="12" spans="1:7" s="171" customFormat="1" ht="24.95" customHeight="1">
      <c r="A12" s="198"/>
      <c r="B12" s="198"/>
      <c r="C12" s="198"/>
      <c r="D12" s="198"/>
      <c r="E12" s="198"/>
      <c r="F12" s="209"/>
    </row>
    <row r="13" spans="1:7" s="171" customFormat="1" ht="24.95" customHeight="1">
      <c r="A13" s="198"/>
      <c r="B13" s="198"/>
      <c r="C13" s="198"/>
      <c r="D13" s="198"/>
      <c r="E13" s="198"/>
      <c r="F13" s="209"/>
      <c r="G13" s="167"/>
    </row>
    <row r="14" spans="1:7" s="167" customFormat="1" ht="24.95" customHeight="1">
      <c r="A14" s="198"/>
      <c r="B14" s="198"/>
      <c r="C14" s="198"/>
      <c r="D14" s="198"/>
      <c r="E14" s="198"/>
      <c r="F14" s="209"/>
      <c r="G14" s="198"/>
    </row>
    <row r="15" spans="1:7" ht="24.95" customHeight="1"/>
    <row r="16" spans="1:7"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14.2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7" ht="12.75" customHeight="1"/>
    <row r="69" ht="12.75" customHeight="1"/>
    <row r="72" ht="12.75" customHeight="1"/>
  </sheetData>
  <sheetProtection algorithmName="SHA-512" hashValue="yQE8nRYpRql9PYnKKPxK78cI+S9EVN89S7ZQ9Flp+kozdoFYqtNPHQF2aUHFl0CoTTwA/1JS/clX2dHIo46/1w==" saltValue="aBYOkZ6CH8DrYFv1B+8Bpw==" spinCount="100000" sheet="1" selectLockedCells="1"/>
  <mergeCells count="2">
    <mergeCell ref="A1:C1"/>
    <mergeCell ref="C4:C5"/>
  </mergeCells>
  <dataValidations count="1">
    <dataValidation type="list" allowBlank="1" showInputMessage="1" showErrorMessage="1" sqref="C4:C5">
      <formula1>$D$4:$D$6</formula1>
    </dataValidation>
  </dataValidations>
  <printOptions horizontalCentered="1"/>
  <pageMargins left="0.59055118110236227" right="0.59055118110236227" top="0.59055118110236227" bottom="0.59055118110236227" header="0.31496062992125984"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G72"/>
  <sheetViews>
    <sheetView showGridLines="0" zoomScaleNormal="100" workbookViewId="0">
      <selection activeCell="D3" sqref="D3:D7"/>
    </sheetView>
  </sheetViews>
  <sheetFormatPr baseColWidth="10" defaultColWidth="11.42578125" defaultRowHeight="12.75"/>
  <cols>
    <col min="1" max="1" width="11.42578125" style="198"/>
    <col min="2" max="2" width="24.42578125" style="198" customWidth="1"/>
    <col min="3" max="3" width="23.140625" style="198" customWidth="1"/>
    <col min="4" max="4" width="13.7109375" style="198" customWidth="1"/>
    <col min="5" max="5" width="11.42578125" style="198" hidden="1" customWidth="1"/>
    <col min="6" max="6" width="30.7109375" style="209" customWidth="1"/>
    <col min="7" max="7" width="2.7109375" style="198" customWidth="1"/>
    <col min="8" max="16384" width="11.42578125" style="198"/>
  </cols>
  <sheetData>
    <row r="1" spans="1:7" ht="24.95" customHeight="1" thickBot="1">
      <c r="A1" s="965" t="s">
        <v>285</v>
      </c>
      <c r="B1" s="965"/>
      <c r="C1" s="965"/>
      <c r="D1" s="965"/>
      <c r="E1" s="164"/>
      <c r="F1" s="269"/>
    </row>
    <row r="2" spans="1:7" ht="24.95" customHeight="1">
      <c r="A2" s="966" t="s">
        <v>286</v>
      </c>
      <c r="B2" s="967"/>
      <c r="C2" s="967"/>
      <c r="D2" s="271" t="s">
        <v>85</v>
      </c>
      <c r="E2" s="171"/>
      <c r="F2" s="192" t="s">
        <v>24</v>
      </c>
      <c r="G2" s="171"/>
    </row>
    <row r="3" spans="1:7" s="171" customFormat="1" ht="24.95" customHeight="1">
      <c r="A3" s="211" t="s">
        <v>287</v>
      </c>
      <c r="B3" s="212" t="s">
        <v>288</v>
      </c>
      <c r="C3" s="213" t="s">
        <v>289</v>
      </c>
      <c r="D3" s="830"/>
      <c r="E3" s="171">
        <v>0</v>
      </c>
      <c r="F3" s="666"/>
    </row>
    <row r="4" spans="1:7" s="171" customFormat="1" ht="24.95" customHeight="1">
      <c r="A4" s="211" t="s">
        <v>290</v>
      </c>
      <c r="B4" s="212" t="s">
        <v>291</v>
      </c>
      <c r="C4" s="213" t="s">
        <v>292</v>
      </c>
      <c r="D4" s="831"/>
      <c r="E4" s="171">
        <v>20</v>
      </c>
      <c r="F4" s="666"/>
    </row>
    <row r="5" spans="1:7" s="171" customFormat="1" ht="24.95" customHeight="1">
      <c r="A5" s="211" t="s">
        <v>293</v>
      </c>
      <c r="B5" s="212" t="s">
        <v>294</v>
      </c>
      <c r="C5" s="213" t="s">
        <v>295</v>
      </c>
      <c r="D5" s="831"/>
      <c r="E5" s="171">
        <v>35</v>
      </c>
      <c r="F5" s="666"/>
    </row>
    <row r="6" spans="1:7" s="171" customFormat="1" ht="24.95" customHeight="1">
      <c r="A6" s="211" t="s">
        <v>296</v>
      </c>
      <c r="B6" s="212" t="s">
        <v>297</v>
      </c>
      <c r="C6" s="213" t="s">
        <v>298</v>
      </c>
      <c r="D6" s="831"/>
      <c r="E6" s="171">
        <v>50</v>
      </c>
      <c r="F6" s="666"/>
    </row>
    <row r="7" spans="1:7" s="171" customFormat="1" ht="24.95" customHeight="1">
      <c r="A7" s="214"/>
      <c r="B7" s="212" t="s">
        <v>299</v>
      </c>
      <c r="C7" s="213" t="s">
        <v>300</v>
      </c>
      <c r="D7" s="832"/>
      <c r="F7" s="666"/>
    </row>
    <row r="8" spans="1:7" s="171" customFormat="1" ht="24.95" customHeight="1">
      <c r="A8" s="968" t="s">
        <v>301</v>
      </c>
      <c r="B8" s="969"/>
      <c r="C8" s="970"/>
      <c r="D8" s="270"/>
      <c r="F8" s="666"/>
    </row>
    <row r="9" spans="1:7" s="171" customFormat="1" ht="24.95" customHeight="1">
      <c r="A9" s="211" t="s">
        <v>287</v>
      </c>
      <c r="B9" s="212" t="s">
        <v>302</v>
      </c>
      <c r="C9" s="213" t="s">
        <v>295</v>
      </c>
      <c r="D9" s="831"/>
      <c r="E9" s="171">
        <v>0</v>
      </c>
      <c r="F9" s="666"/>
    </row>
    <row r="10" spans="1:7" s="171" customFormat="1" ht="24.95" customHeight="1">
      <c r="A10" s="211" t="s">
        <v>290</v>
      </c>
      <c r="B10" s="212" t="s">
        <v>303</v>
      </c>
      <c r="C10" s="213" t="s">
        <v>304</v>
      </c>
      <c r="D10" s="831"/>
      <c r="E10" s="171">
        <v>5</v>
      </c>
      <c r="F10" s="666"/>
    </row>
    <row r="11" spans="1:7" s="171" customFormat="1" ht="24.95" customHeight="1">
      <c r="A11" s="211" t="s">
        <v>293</v>
      </c>
      <c r="B11" s="212" t="s">
        <v>305</v>
      </c>
      <c r="C11" s="213" t="s">
        <v>306</v>
      </c>
      <c r="D11" s="831"/>
      <c r="E11" s="171">
        <v>10</v>
      </c>
      <c r="F11" s="666"/>
    </row>
    <row r="12" spans="1:7" s="171" customFormat="1" ht="24.95" customHeight="1">
      <c r="A12" s="215" t="s">
        <v>296</v>
      </c>
      <c r="B12" s="216" t="s">
        <v>307</v>
      </c>
      <c r="C12" s="217" t="s">
        <v>298</v>
      </c>
      <c r="D12" s="832"/>
      <c r="E12" s="171">
        <v>20</v>
      </c>
      <c r="F12" s="666"/>
    </row>
    <row r="13" spans="1:7" s="171" customFormat="1" ht="24.95" customHeight="1" thickBot="1">
      <c r="A13" s="218" t="s">
        <v>31</v>
      </c>
      <c r="B13" s="219"/>
      <c r="C13" s="220"/>
      <c r="D13" s="208">
        <f>SUM(D3,D9)</f>
        <v>0</v>
      </c>
      <c r="E13" s="167"/>
      <c r="F13" s="200"/>
      <c r="G13" s="167"/>
    </row>
    <row r="14" spans="1:7" s="167" customFormat="1" ht="24.95" customHeight="1" thickBot="1">
      <c r="A14" s="164"/>
      <c r="B14" s="198"/>
      <c r="C14" s="198"/>
      <c r="D14" s="198"/>
      <c r="E14" s="600"/>
      <c r="F14" s="209"/>
      <c r="G14" s="198"/>
    </row>
    <row r="15" spans="1:7" ht="24.95" customHeight="1"/>
    <row r="16" spans="1:7"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14.2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7" ht="12.75" customHeight="1"/>
    <row r="69" ht="12.75" customHeight="1"/>
    <row r="72" ht="12.75" customHeight="1"/>
  </sheetData>
  <sheetProtection algorithmName="SHA-512" hashValue="xB2caahdkMRDT6UjIiVGxuB9P9hhVI2K4jSNiLx3dAoV3LKIFUFtvKAq53uaJM2nlIdWJq/z7W3Is1SLl3isqg==" saltValue="2WBhtiCo9D7N5yOOWVp0nw==" spinCount="100000" sheet="1" selectLockedCells="1"/>
  <mergeCells count="5">
    <mergeCell ref="A1:D1"/>
    <mergeCell ref="D3:D7"/>
    <mergeCell ref="D9:D12"/>
    <mergeCell ref="A2:C2"/>
    <mergeCell ref="A8:C8"/>
  </mergeCells>
  <phoneticPr fontId="45" type="noConversion"/>
  <dataValidations count="2">
    <dataValidation type="list" allowBlank="1" showInputMessage="1" showErrorMessage="1" errorTitle="Falscher Wert!" error="Bitte geben Sie die Zahl 0,20,35 oder 50 ein." sqref="D3:D7">
      <formula1>$E$3:$E$6</formula1>
    </dataValidation>
    <dataValidation type="list" allowBlank="1" showInputMessage="1" showErrorMessage="1" errorTitle="Falscher Wert!" error="Bitte geben Sie die Zahl 0,10,20 oder 30 ein." sqref="D9:D12">
      <formula1>$E$9:$E$12</formula1>
    </dataValidation>
  </dataValidations>
  <printOptions horizontalCentered="1"/>
  <pageMargins left="0.59055118110236227" right="0.59055118110236227" top="0.59055118110236227" bottom="0.59055118110236227" header="0.31496062992125984" footer="0.31496062992125984"/>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M73"/>
  <sheetViews>
    <sheetView showGridLines="0" topLeftCell="C1" zoomScale="115" zoomScaleNormal="115" workbookViewId="0">
      <pane ySplit="1" topLeftCell="A2" activePane="bottomLeft" state="frozen"/>
      <selection activeCell="D2" sqref="D2:H2"/>
      <selection pane="bottomLeft" activeCell="D12" sqref="D12"/>
    </sheetView>
  </sheetViews>
  <sheetFormatPr baseColWidth="10" defaultColWidth="11.42578125" defaultRowHeight="12.75"/>
  <cols>
    <col min="1" max="1" width="33.42578125" style="226" customWidth="1"/>
    <col min="2" max="2" width="88.42578125" style="226" customWidth="1"/>
    <col min="3" max="3" width="11.42578125" style="227"/>
    <col min="4" max="4" width="11.42578125" style="226" customWidth="1"/>
    <col min="5" max="5" width="23.28515625" style="226" hidden="1" customWidth="1"/>
    <col min="6" max="6" width="30.7109375" style="226" customWidth="1"/>
    <col min="7" max="7" width="2.7109375" style="226" customWidth="1"/>
    <col min="8" max="16384" width="11.42578125" style="226"/>
  </cols>
  <sheetData>
    <row r="1" spans="1:13" s="209" customFormat="1" ht="24.95" customHeight="1">
      <c r="A1" s="997" t="s">
        <v>345</v>
      </c>
      <c r="B1" s="998"/>
      <c r="C1" s="998"/>
      <c r="D1" s="998"/>
      <c r="E1" s="267"/>
    </row>
    <row r="2" spans="1:13" s="199" customFormat="1" ht="6.75" customHeight="1" thickBot="1">
      <c r="B2" s="203"/>
      <c r="C2" s="429"/>
      <c r="D2" s="429"/>
      <c r="E2" s="222"/>
      <c r="J2"/>
      <c r="K2"/>
      <c r="L2"/>
      <c r="M2"/>
    </row>
    <row r="3" spans="1:13" s="199" customFormat="1" ht="38.25">
      <c r="A3" s="992" t="s">
        <v>84</v>
      </c>
      <c r="B3" s="993"/>
      <c r="C3" s="223" t="s">
        <v>381</v>
      </c>
      <c r="D3" s="224" t="s">
        <v>85</v>
      </c>
      <c r="F3" s="191" t="s">
        <v>24</v>
      </c>
      <c r="I3"/>
      <c r="J3"/>
      <c r="K3"/>
      <c r="L3"/>
      <c r="M3"/>
    </row>
    <row r="4" spans="1:13" s="199" customFormat="1" ht="24.95" customHeight="1">
      <c r="A4" s="994" t="s">
        <v>308</v>
      </c>
      <c r="B4" s="279" t="s">
        <v>309</v>
      </c>
      <c r="C4" s="389"/>
      <c r="D4" s="989"/>
      <c r="F4" s="658"/>
      <c r="I4"/>
      <c r="J4"/>
      <c r="K4"/>
      <c r="L4"/>
      <c r="M4"/>
    </row>
    <row r="5" spans="1:13" s="199" customFormat="1" ht="24.95" customHeight="1">
      <c r="A5" s="995"/>
      <c r="B5" s="274" t="s">
        <v>310</v>
      </c>
      <c r="C5" s="835" t="s">
        <v>311</v>
      </c>
      <c r="D5" s="990"/>
      <c r="E5" s="420"/>
      <c r="F5" s="672"/>
      <c r="I5"/>
      <c r="J5"/>
      <c r="K5"/>
      <c r="L5"/>
      <c r="M5"/>
    </row>
    <row r="6" spans="1:13" s="199" customFormat="1" ht="24.95" customHeight="1">
      <c r="A6" s="995"/>
      <c r="B6" s="274" t="s">
        <v>312</v>
      </c>
      <c r="C6" s="987"/>
      <c r="D6" s="990"/>
      <c r="E6" s="420">
        <v>0</v>
      </c>
      <c r="F6" s="672"/>
      <c r="I6"/>
      <c r="J6"/>
      <c r="K6"/>
      <c r="L6"/>
      <c r="M6"/>
    </row>
    <row r="7" spans="1:13" s="199" customFormat="1" ht="24.95" customHeight="1">
      <c r="A7" s="995"/>
      <c r="B7" s="682" t="s">
        <v>371</v>
      </c>
      <c r="C7" s="988"/>
      <c r="D7" s="991"/>
      <c r="E7" s="199">
        <v>5</v>
      </c>
      <c r="F7" s="673"/>
      <c r="I7"/>
      <c r="J7"/>
      <c r="K7"/>
      <c r="L7"/>
      <c r="M7"/>
    </row>
    <row r="8" spans="1:13" s="199" customFormat="1" ht="24.95" customHeight="1">
      <c r="A8" s="995"/>
      <c r="B8" s="262" t="s">
        <v>313</v>
      </c>
      <c r="C8" s="264">
        <v>5</v>
      </c>
      <c r="D8" s="281"/>
      <c r="E8" s="199">
        <v>0</v>
      </c>
      <c r="F8" s="674"/>
    </row>
    <row r="9" spans="1:13" s="199" customFormat="1" ht="24.95" customHeight="1">
      <c r="A9" s="995"/>
      <c r="B9" s="279" t="s">
        <v>314</v>
      </c>
      <c r="C9" s="389"/>
      <c r="D9" s="390"/>
      <c r="E9" s="199">
        <v>15</v>
      </c>
      <c r="F9" s="675"/>
    </row>
    <row r="10" spans="1:13" s="199" customFormat="1" ht="24.95" customHeight="1">
      <c r="A10" s="995"/>
      <c r="B10" s="275" t="s">
        <v>315</v>
      </c>
      <c r="C10" s="276">
        <v>5</v>
      </c>
      <c r="D10" s="282"/>
      <c r="E10" s="199">
        <v>0</v>
      </c>
      <c r="F10" s="676"/>
    </row>
    <row r="11" spans="1:13" s="199" customFormat="1" ht="24.95" customHeight="1">
      <c r="A11" s="995"/>
      <c r="B11" s="279" t="s">
        <v>316</v>
      </c>
      <c r="C11" s="391"/>
      <c r="D11" s="390"/>
      <c r="E11" s="199">
        <v>10</v>
      </c>
      <c r="F11" s="675"/>
    </row>
    <row r="12" spans="1:13" s="199" customFormat="1" ht="24.95" customHeight="1">
      <c r="A12" s="995"/>
      <c r="B12" s="277" t="s">
        <v>317</v>
      </c>
      <c r="C12" s="280">
        <v>5</v>
      </c>
      <c r="D12" s="283"/>
      <c r="E12" s="199">
        <v>0</v>
      </c>
      <c r="F12" s="677"/>
    </row>
    <row r="13" spans="1:13" s="225" customFormat="1" ht="24.95" customHeight="1" thickBot="1">
      <c r="A13" s="996"/>
      <c r="B13" s="278" t="s">
        <v>318</v>
      </c>
      <c r="C13" s="276">
        <v>5</v>
      </c>
      <c r="D13" s="282"/>
      <c r="E13" s="199">
        <v>5</v>
      </c>
      <c r="F13" s="662"/>
    </row>
    <row r="14" spans="1:13" s="225" customFormat="1" ht="24.95" customHeight="1">
      <c r="A14" s="971" t="s">
        <v>348</v>
      </c>
      <c r="B14" s="973" t="s">
        <v>347</v>
      </c>
      <c r="C14" s="975">
        <v>5</v>
      </c>
      <c r="D14" s="976"/>
      <c r="E14" s="199">
        <v>0</v>
      </c>
      <c r="F14" s="661"/>
    </row>
    <row r="15" spans="1:13" s="225" customFormat="1" ht="24.95" customHeight="1" thickBot="1">
      <c r="A15" s="972"/>
      <c r="B15" s="974"/>
      <c r="C15" s="975"/>
      <c r="D15" s="977"/>
      <c r="E15" s="199">
        <v>10</v>
      </c>
      <c r="F15" s="664"/>
    </row>
    <row r="16" spans="1:13" s="225" customFormat="1" ht="29.25" customHeight="1">
      <c r="A16" s="978" t="s">
        <v>349</v>
      </c>
      <c r="B16" s="980" t="s">
        <v>401</v>
      </c>
      <c r="C16" s="982">
        <v>10</v>
      </c>
      <c r="D16" s="976"/>
      <c r="E16" s="199">
        <v>0</v>
      </c>
      <c r="F16" s="664"/>
    </row>
    <row r="17" spans="1:6" s="225" customFormat="1" ht="2.25" customHeight="1" thickBot="1">
      <c r="A17" s="979"/>
      <c r="B17" s="981"/>
      <c r="C17" s="982"/>
      <c r="D17" s="977"/>
      <c r="E17" s="199">
        <v>3</v>
      </c>
      <c r="F17" s="662"/>
    </row>
    <row r="18" spans="1:6" s="225" customFormat="1" ht="38.25">
      <c r="A18" s="983" t="s">
        <v>319</v>
      </c>
      <c r="B18" s="421" t="s">
        <v>320</v>
      </c>
      <c r="C18" s="264">
        <v>5</v>
      </c>
      <c r="D18" s="288"/>
      <c r="E18" s="199"/>
      <c r="F18" s="660"/>
    </row>
    <row r="19" spans="1:6" s="225" customFormat="1" ht="38.25">
      <c r="A19" s="984"/>
      <c r="B19" s="421" t="s">
        <v>321</v>
      </c>
      <c r="C19" s="264">
        <v>5</v>
      </c>
      <c r="D19" s="288"/>
      <c r="E19" s="199"/>
      <c r="F19" s="660"/>
    </row>
    <row r="20" spans="1:6" s="225" customFormat="1" ht="24.95" customHeight="1">
      <c r="A20" s="985"/>
      <c r="B20" s="422" t="s">
        <v>322</v>
      </c>
      <c r="C20" s="264">
        <v>3</v>
      </c>
      <c r="D20" s="418"/>
      <c r="E20" s="199"/>
      <c r="F20" s="660"/>
    </row>
    <row r="21" spans="1:6" s="225" customFormat="1" ht="24.95" customHeight="1">
      <c r="A21" s="986"/>
      <c r="B21" s="678" t="s">
        <v>346</v>
      </c>
      <c r="C21" s="264">
        <v>3</v>
      </c>
      <c r="D21" s="288"/>
      <c r="E21" s="199"/>
      <c r="F21" s="660"/>
    </row>
    <row r="22" spans="1:6" ht="24.95" customHeight="1" thickBot="1">
      <c r="A22" s="899" t="s">
        <v>31</v>
      </c>
      <c r="B22" s="899"/>
      <c r="C22" s="419"/>
      <c r="D22" s="261">
        <f>IF(SUM(D4:D21)&lt;30, SUM(D4:D21),30)</f>
        <v>0</v>
      </c>
    </row>
    <row r="23" spans="1:6">
      <c r="A23" s="284"/>
      <c r="B23" s="284"/>
    </row>
    <row r="24" spans="1:6" ht="13.5" thickBot="1">
      <c r="E24" s="601"/>
    </row>
    <row r="25" spans="1:6" ht="24.95" customHeight="1"/>
    <row r="26" spans="1:6" ht="24.95" customHeight="1"/>
    <row r="27" spans="1:6" ht="24.95" customHeight="1"/>
    <row r="28" spans="1:6" ht="24.95" customHeight="1"/>
    <row r="29" spans="1:6" ht="24.95" customHeight="1"/>
    <row r="30" spans="1:6" ht="24.95" customHeight="1"/>
    <row r="31" spans="1:6" ht="24.95" customHeight="1"/>
    <row r="32" spans="1:6" ht="24.95" customHeight="1"/>
    <row r="33" ht="24.95" customHeight="1"/>
    <row r="34" ht="24.95" customHeight="1"/>
    <row r="35" ht="24.95" customHeight="1"/>
    <row r="36" ht="24.95" customHeight="1"/>
    <row r="37" ht="24.95" customHeight="1"/>
    <row r="38" ht="24.95" customHeight="1"/>
    <row r="39"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sheetData>
  <sheetProtection algorithmName="SHA-512" hashValue="ZgUCRE+5kL1S2VWwCpWsz0dOKzqG2zLMX8Z9Ayl2Fqki7Ia2e5VC7MJm3mYZYlB4zjSvQdfD7iTxvJbLj8u3fg==" saltValue="cWnn58nNXxlWWlz6ukKqBg==" spinCount="100000" sheet="1" selectLockedCells="1"/>
  <mergeCells count="15">
    <mergeCell ref="C5:C7"/>
    <mergeCell ref="D4:D7"/>
    <mergeCell ref="A3:B3"/>
    <mergeCell ref="A4:A13"/>
    <mergeCell ref="A1:D1"/>
    <mergeCell ref="A22:B22"/>
    <mergeCell ref="A14:A15"/>
    <mergeCell ref="B14:B15"/>
    <mergeCell ref="C14:C15"/>
    <mergeCell ref="D14:D15"/>
    <mergeCell ref="A16:A17"/>
    <mergeCell ref="B16:B17"/>
    <mergeCell ref="C16:C17"/>
    <mergeCell ref="D16:D17"/>
    <mergeCell ref="A18:A21"/>
  </mergeCells>
  <phoneticPr fontId="45" type="noConversion"/>
  <dataValidations count="5">
    <dataValidation type="list" allowBlank="1" showInputMessage="1" showErrorMessage="1" errorTitle="Falscher Wert!" error="Bitte geben Sie die Zahl 0 oder 20 ein." sqref="D10 D8">
      <formula1>$E$6:$E$7</formula1>
    </dataValidation>
    <dataValidation type="list" allowBlank="1" showInputMessage="1" showErrorMessage="1" errorTitle="Falscher Wert!" error="Bitte geben Sie die Zahl 0 oder 5 ein." sqref="D13 D18:D19">
      <formula1>$E$12:$E$13</formula1>
    </dataValidation>
    <dataValidation type="list" allowBlank="1" showInputMessage="1" showErrorMessage="1" errorTitle="Falscher Wert!" error="Bitte geben Sie die Zahl 0 oder 10 ein." sqref="D12 D14">
      <formula1>$E$6:$E$7</formula1>
    </dataValidation>
    <dataValidation type="list" allowBlank="1" showInputMessage="1" showErrorMessage="1" errorTitle="Falscher Wert!" error="Bitte geben Sie die Zahl 0 oder 5 ein." sqref="D20:D21">
      <formula1>$E$16:$E$17</formula1>
    </dataValidation>
    <dataValidation type="list" allowBlank="1" showInputMessage="1" showErrorMessage="1" errorTitle="Falscher Wert!" error="Bitte geben Sie die Zahl 0 oder 10 ein." sqref="D16:D17">
      <formula1>$E$14:$E$15</formula1>
    </dataValidation>
  </dataValidations>
  <printOptions horizontalCentered="1"/>
  <pageMargins left="0.59055118110236227" right="0.59055118110236227" top="0.59055118110236227" bottom="0.59055118110236227" header="0.31496062992125984" footer="0.31496062992125984"/>
  <pageSetup paperSize="9" scale="9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showGridLines="0" topLeftCell="B1" zoomScale="115" zoomScaleNormal="115" workbookViewId="0">
      <selection activeCell="C5" sqref="C5"/>
    </sheetView>
  </sheetViews>
  <sheetFormatPr baseColWidth="10" defaultColWidth="11.42578125" defaultRowHeight="12.75"/>
  <cols>
    <col min="1" max="1" width="88.42578125" style="226" customWidth="1"/>
    <col min="2" max="2" width="11.42578125" style="227"/>
    <col min="3" max="3" width="11.42578125" style="226" customWidth="1"/>
    <col min="4" max="4" width="11.42578125" style="226" hidden="1" customWidth="1"/>
    <col min="5" max="5" width="30.7109375" style="226" customWidth="1"/>
    <col min="6" max="6" width="11.42578125" style="226"/>
    <col min="7" max="7" width="15.28515625" style="226" customWidth="1"/>
    <col min="8" max="16384" width="11.42578125" style="226"/>
  </cols>
  <sheetData>
    <row r="1" spans="1:8" s="209" customFormat="1" ht="24.95" customHeight="1">
      <c r="A1" s="849" t="s">
        <v>323</v>
      </c>
      <c r="B1" s="998"/>
      <c r="C1" s="998"/>
      <c r="D1" s="998"/>
      <c r="G1" s="714" t="s">
        <v>404</v>
      </c>
      <c r="H1" s="621"/>
    </row>
    <row r="2" spans="1:8" s="199" customFormat="1" ht="7.5" customHeight="1" thickBot="1">
      <c r="A2" s="429"/>
      <c r="B2" s="221"/>
      <c r="C2" s="221"/>
      <c r="D2" s="222"/>
      <c r="G2" s="625"/>
      <c r="H2" s="625"/>
    </row>
    <row r="3" spans="1:8" s="199" customFormat="1" ht="38.25">
      <c r="A3" s="432" t="s">
        <v>84</v>
      </c>
      <c r="B3" s="223" t="s">
        <v>141</v>
      </c>
      <c r="C3" s="224" t="s">
        <v>85</v>
      </c>
      <c r="D3" s="199">
        <v>0</v>
      </c>
      <c r="E3" s="191" t="s">
        <v>24</v>
      </c>
      <c r="G3" s="715" t="s">
        <v>405</v>
      </c>
      <c r="H3" s="716">
        <v>1000</v>
      </c>
    </row>
    <row r="4" spans="1:8" s="199" customFormat="1" ht="60.75" customHeight="1" thickBot="1">
      <c r="A4" s="417" t="s">
        <v>402</v>
      </c>
      <c r="B4" s="264">
        <v>10</v>
      </c>
      <c r="C4" s="288"/>
      <c r="D4" s="199">
        <v>10</v>
      </c>
      <c r="E4" s="660"/>
      <c r="G4" s="717" t="s">
        <v>406</v>
      </c>
      <c r="H4" s="718">
        <v>200</v>
      </c>
    </row>
    <row r="5" spans="1:8" s="199" customFormat="1" ht="24.95" customHeight="1" thickBot="1">
      <c r="A5" s="619" t="s">
        <v>403</v>
      </c>
      <c r="B5" s="264">
        <v>5</v>
      </c>
      <c r="C5" s="418"/>
      <c r="D5" s="199">
        <v>0</v>
      </c>
      <c r="E5" s="660"/>
      <c r="G5" s="719" t="s">
        <v>407</v>
      </c>
      <c r="H5" s="720">
        <f>H4/H3</f>
        <v>0.2</v>
      </c>
    </row>
    <row r="6" spans="1:8" s="225" customFormat="1" ht="24.95" customHeight="1" thickBot="1">
      <c r="A6" s="430" t="s">
        <v>31</v>
      </c>
      <c r="B6" s="428"/>
      <c r="C6" s="261">
        <f>IF(SUM(C4:C5)&lt;15, SUM(C4:C5),15)</f>
        <v>0</v>
      </c>
      <c r="D6" s="199">
        <v>5</v>
      </c>
      <c r="E6" s="427"/>
    </row>
    <row r="7" spans="1:8">
      <c r="D7" s="199"/>
    </row>
    <row r="8" spans="1:8">
      <c r="D8" s="199"/>
    </row>
  </sheetData>
  <sheetProtection algorithmName="SHA-512" hashValue="wUnFzNk190+2GC1WjE2PLZUOnSKblfS/g8JQJ+rkKQNS5F6qZOKEdHB5r5EVb9wWaiw9BUf5W5i3PiRWXu4LBA==" saltValue="jumrea6KXWWe+I4htb+u6w==" spinCount="100000" sheet="1" selectLockedCells="1"/>
  <mergeCells count="1">
    <mergeCell ref="A1:D1"/>
  </mergeCells>
  <dataValidations count="2">
    <dataValidation type="list" allowBlank="1" showInputMessage="1" showErrorMessage="1" errorTitle="Falscher Wert!" error="Bitte geben Sie die Zahl 0 oder 5 ein." sqref="C4">
      <formula1>$D$3:$D$4</formula1>
    </dataValidation>
    <dataValidation type="list" allowBlank="1" showInputMessage="1" showErrorMessage="1" errorTitle="Falscher Wert!" error="Bitte geben Sie die Zahl 0 oder 5 ein." sqref="C5">
      <formula1>$D$5:$D$6</formula1>
    </dataValidation>
  </dataValidations>
  <printOptions horizontalCentered="1"/>
  <pageMargins left="0.59055118110236227" right="0.59055118110236227" top="0.59055118110236227" bottom="0.59055118110236227" header="0.31496062992125984" footer="0.31496062992125984"/>
  <pageSetup paperSize="9" scale="9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A23" sqref="A23"/>
    </sheetView>
  </sheetViews>
  <sheetFormatPr baseColWidth="10" defaultColWidth="11.42578125" defaultRowHeight="12.75"/>
  <cols>
    <col min="1" max="1" width="97" style="635" customWidth="1"/>
    <col min="2" max="2" width="11.42578125" style="641"/>
    <col min="3" max="3" width="11.7109375" style="635" customWidth="1"/>
    <col min="4" max="4" width="0.28515625" style="635" hidden="1" customWidth="1"/>
    <col min="5" max="5" width="30.7109375" style="635" customWidth="1"/>
    <col min="6" max="16384" width="11.42578125" style="635"/>
  </cols>
  <sheetData>
    <row r="1" spans="1:6" s="621" customFormat="1" ht="25.5" customHeight="1">
      <c r="A1" s="997" t="s">
        <v>350</v>
      </c>
      <c r="B1" s="999"/>
      <c r="C1" s="999"/>
      <c r="D1" s="999"/>
      <c r="E1" s="620"/>
    </row>
    <row r="2" spans="1:6" s="625" customFormat="1" ht="9.75" customHeight="1" thickBot="1">
      <c r="A2" s="622"/>
      <c r="B2" s="623"/>
      <c r="C2" s="623"/>
      <c r="D2" s="624"/>
    </row>
    <row r="3" spans="1:6" s="625" customFormat="1" ht="38.25">
      <c r="A3" s="626" t="s">
        <v>84</v>
      </c>
      <c r="B3" s="627" t="s">
        <v>141</v>
      </c>
      <c r="C3" s="628" t="s">
        <v>85</v>
      </c>
      <c r="D3" s="625">
        <v>0</v>
      </c>
      <c r="E3" s="629" t="s">
        <v>24</v>
      </c>
      <c r="F3" s="630"/>
    </row>
    <row r="4" spans="1:6" s="625" customFormat="1" ht="30" customHeight="1">
      <c r="A4" s="619" t="s">
        <v>351</v>
      </c>
      <c r="B4" s="631">
        <v>10</v>
      </c>
      <c r="C4" s="632">
        <v>0</v>
      </c>
      <c r="D4" s="625">
        <v>0</v>
      </c>
      <c r="E4" s="679"/>
    </row>
    <row r="5" spans="1:6" ht="30" customHeight="1">
      <c r="A5" s="625" t="s">
        <v>352</v>
      </c>
      <c r="B5" s="633">
        <v>5</v>
      </c>
      <c r="C5" s="634">
        <v>0</v>
      </c>
      <c r="D5" s="635">
        <v>10</v>
      </c>
      <c r="E5" s="679"/>
    </row>
    <row r="6" spans="1:6" s="640" customFormat="1" ht="30" customHeight="1" thickBot="1">
      <c r="A6" s="636" t="s">
        <v>31</v>
      </c>
      <c r="B6" s="637"/>
      <c r="C6" s="638">
        <f>IF(SUM(C4:C5)&lt;15, SUM(C4:C5),15)</f>
        <v>0</v>
      </c>
      <c r="D6" s="625">
        <v>0</v>
      </c>
      <c r="E6" s="639"/>
    </row>
    <row r="7" spans="1:6">
      <c r="D7" s="635">
        <v>5</v>
      </c>
    </row>
    <row r="8" spans="1:6">
      <c r="E8" s="642"/>
    </row>
  </sheetData>
  <mergeCells count="1">
    <mergeCell ref="A1:D1"/>
  </mergeCells>
  <dataValidations count="3">
    <dataValidation type="list" allowBlank="1" showInputMessage="1" showErrorMessage="1" errorTitle="Falscher Wert!" error="Bitte geben Sie die Zahl 0 oder 5 ein." sqref="C4">
      <formula1>$D$4:$D$5</formula1>
    </dataValidation>
    <dataValidation type="list" allowBlank="1" showInputMessage="1" showErrorMessage="1" errorTitle="Falscher Wert!" error="Bitte geben Sie die Zahl 0 oder 5 ein." sqref="C5">
      <formula1>$D$6:$D$7</formula1>
    </dataValidation>
    <dataValidation type="list" allowBlank="1" showInputMessage="1" showErrorMessage="1" errorTitle="Falscher Wert!" error="Bitte geben Sie die Zahl 0 oder 5 ein." sqref="C5">
      <formula1>$D$4:$D$5+$D$6:$D$7</formula1>
    </dataValidation>
  </dataValidation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H40"/>
  <sheetViews>
    <sheetView showGridLines="0" tabSelected="1" zoomScaleNormal="100" workbookViewId="0">
      <selection activeCell="B21" sqref="B21"/>
    </sheetView>
  </sheetViews>
  <sheetFormatPr baseColWidth="10" defaultColWidth="11.42578125" defaultRowHeight="12.75"/>
  <cols>
    <col min="1" max="1" width="55.7109375" style="198" customWidth="1"/>
    <col min="2" max="2" width="15.7109375" style="308" customWidth="1"/>
    <col min="3" max="3" width="30.7109375" style="228" customWidth="1"/>
    <col min="4" max="4" width="2.7109375" style="198" customWidth="1"/>
    <col min="5" max="5" width="0" style="198" hidden="1" customWidth="1"/>
    <col min="6" max="6" width="17.7109375" style="198" hidden="1" customWidth="1"/>
    <col min="7" max="8" width="11.42578125" style="198" hidden="1" customWidth="1"/>
    <col min="9" max="16384" width="11.42578125" style="198"/>
  </cols>
  <sheetData>
    <row r="1" spans="1:8" ht="23.1" customHeight="1" thickBot="1">
      <c r="A1" s="849" t="s">
        <v>324</v>
      </c>
      <c r="B1" s="849"/>
      <c r="C1" s="209"/>
      <c r="F1" s="926" t="s">
        <v>28</v>
      </c>
      <c r="G1" s="927"/>
      <c r="H1" s="928"/>
    </row>
    <row r="2" spans="1:8" ht="15" customHeight="1">
      <c r="A2" s="210"/>
      <c r="B2" s="210"/>
    </row>
    <row r="3" spans="1:8" ht="23.1" customHeight="1" thickBot="1">
      <c r="A3" s="602" t="s">
        <v>262</v>
      </c>
      <c r="B3" s="598"/>
    </row>
    <row r="4" spans="1:8" s="171" customFormat="1" ht="24.95" customHeight="1">
      <c r="A4" s="307" t="s">
        <v>84</v>
      </c>
      <c r="B4" s="392" t="s">
        <v>40</v>
      </c>
      <c r="C4" s="405" t="s">
        <v>24</v>
      </c>
      <c r="F4" s="605"/>
      <c r="G4" s="606" t="s">
        <v>237</v>
      </c>
      <c r="H4" s="607" t="s">
        <v>40</v>
      </c>
    </row>
    <row r="5" spans="1:8" s="171" customFormat="1" ht="23.1" customHeight="1">
      <c r="A5" s="393" t="s">
        <v>325</v>
      </c>
      <c r="B5" s="406"/>
      <c r="C5" s="241"/>
      <c r="F5" s="608" t="s">
        <v>330</v>
      </c>
      <c r="G5" s="609">
        <v>750</v>
      </c>
      <c r="H5" s="610">
        <v>0</v>
      </c>
    </row>
    <row r="6" spans="1:8" s="171" customFormat="1" ht="23.1" customHeight="1" thickBot="1">
      <c r="A6" s="171" t="s">
        <v>408</v>
      </c>
      <c r="B6" s="722"/>
      <c r="C6" s="241"/>
      <c r="F6" s="608"/>
      <c r="G6" s="609"/>
      <c r="H6" s="610"/>
    </row>
    <row r="7" spans="1:8" s="171" customFormat="1" ht="23.1" customHeight="1" thickBot="1">
      <c r="A7" s="725" t="s">
        <v>411</v>
      </c>
      <c r="B7" s="726">
        <f>IF(B5="",0,IF(B5&lt;=G8,H8,IF(B5&gt;G5,0,H8+(H5-H8)/(G5-G8)*(B5-G8))))</f>
        <v>0</v>
      </c>
      <c r="C7" s="241"/>
      <c r="F7" s="608"/>
      <c r="G7" s="609"/>
      <c r="H7" s="610"/>
    </row>
    <row r="8" spans="1:8" s="171" customFormat="1" ht="23.1" customHeight="1" thickBot="1">
      <c r="A8" s="727" t="s">
        <v>412</v>
      </c>
      <c r="B8" s="728">
        <f>IF(B6="",0,IF(B6&lt;=G40,H40,IF(B6&gt;G38,0,H40+(H38-H40)/(G38-G40)*(B6-G40))))</f>
        <v>0</v>
      </c>
      <c r="C8" s="415"/>
      <c r="F8" s="608" t="s">
        <v>331</v>
      </c>
      <c r="G8" s="609">
        <v>150</v>
      </c>
      <c r="H8" s="610">
        <v>110</v>
      </c>
    </row>
    <row r="9" spans="1:8" s="171" customFormat="1" ht="15" customHeight="1" thickBot="1">
      <c r="A9" s="727" t="s">
        <v>413</v>
      </c>
      <c r="B9" s="729">
        <f>B7+B8</f>
        <v>0</v>
      </c>
      <c r="C9" s="209"/>
    </row>
    <row r="10" spans="1:8" ht="15" customHeight="1"/>
    <row r="11" spans="1:8" ht="23.1" customHeight="1" thickBot="1">
      <c r="A11" s="602" t="s">
        <v>377</v>
      </c>
      <c r="B11" s="603"/>
      <c r="C11" s="362"/>
    </row>
    <row r="12" spans="1:8" ht="24.95" customHeight="1">
      <c r="A12" s="307" t="s">
        <v>84</v>
      </c>
      <c r="B12" s="392" t="s">
        <v>40</v>
      </c>
      <c r="C12" s="405" t="s">
        <v>24</v>
      </c>
      <c r="F12" s="605"/>
      <c r="G12" s="606" t="s">
        <v>237</v>
      </c>
      <c r="H12" s="607" t="s">
        <v>40</v>
      </c>
    </row>
    <row r="13" spans="1:8" ht="23.1" customHeight="1">
      <c r="A13" s="394" t="s">
        <v>325</v>
      </c>
      <c r="B13" s="416"/>
      <c r="C13" s="241"/>
      <c r="F13" s="608" t="s">
        <v>330</v>
      </c>
      <c r="G13" s="609">
        <v>750</v>
      </c>
      <c r="H13" s="610">
        <v>0</v>
      </c>
    </row>
    <row r="14" spans="1:8" ht="23.1" customHeight="1" thickBot="1">
      <c r="A14" s="171" t="s">
        <v>408</v>
      </c>
      <c r="B14" s="722"/>
      <c r="C14" s="241"/>
      <c r="F14" s="608"/>
      <c r="G14" s="609"/>
      <c r="H14" s="610"/>
    </row>
    <row r="15" spans="1:8" ht="23.1" customHeight="1" thickBot="1">
      <c r="A15" s="725" t="s">
        <v>411</v>
      </c>
      <c r="B15" s="726">
        <f>IF(B13="",0,IF(B13&lt;=G16,H16,IF(B13&gt;G13,0,H16+(H13-H16)/(G13-G16)*(B13-G16))))</f>
        <v>0</v>
      </c>
      <c r="C15" s="241"/>
      <c r="F15" s="608"/>
      <c r="G15" s="609"/>
      <c r="H15" s="610"/>
    </row>
    <row r="16" spans="1:8" ht="23.1" customHeight="1" thickBot="1">
      <c r="A16" s="727" t="s">
        <v>412</v>
      </c>
      <c r="B16" s="728">
        <f>IF(B14="",0,IF(B14&lt;=G40,H40,IF(B14&gt;G38,0,H40+(H38-H40)/(G38-G40)*(B14-G40))))</f>
        <v>0</v>
      </c>
      <c r="C16" s="410"/>
      <c r="F16" s="608" t="s">
        <v>331</v>
      </c>
      <c r="G16" s="609">
        <v>150</v>
      </c>
      <c r="H16" s="610">
        <v>175</v>
      </c>
    </row>
    <row r="17" spans="1:8" ht="15" customHeight="1" thickBot="1">
      <c r="A17" s="727" t="s">
        <v>413</v>
      </c>
      <c r="B17" s="729">
        <f>B15+B16</f>
        <v>0</v>
      </c>
      <c r="C17" s="198"/>
    </row>
    <row r="18" spans="1:8" ht="23.1" customHeight="1">
      <c r="A18" s="197"/>
      <c r="C18" s="198"/>
    </row>
    <row r="19" spans="1:8" ht="23.1" customHeight="1" thickBot="1">
      <c r="A19" s="602" t="s">
        <v>378</v>
      </c>
      <c r="B19" s="603"/>
      <c r="C19" s="413"/>
    </row>
    <row r="20" spans="1:8" ht="24.95" customHeight="1">
      <c r="A20" s="307" t="s">
        <v>84</v>
      </c>
      <c r="B20" s="392" t="s">
        <v>40</v>
      </c>
      <c r="C20" s="405" t="s">
        <v>24</v>
      </c>
      <c r="F20" s="605"/>
      <c r="G20" s="606" t="s">
        <v>237</v>
      </c>
      <c r="H20" s="607" t="s">
        <v>40</v>
      </c>
    </row>
    <row r="21" spans="1:8" ht="23.1" customHeight="1">
      <c r="A21" s="393" t="s">
        <v>325</v>
      </c>
      <c r="B21" s="406"/>
      <c r="C21" s="241"/>
      <c r="F21" s="608" t="s">
        <v>330</v>
      </c>
      <c r="G21" s="609">
        <v>750</v>
      </c>
      <c r="H21" s="610">
        <v>0</v>
      </c>
    </row>
    <row r="22" spans="1:8" ht="23.1" customHeight="1" thickBot="1">
      <c r="A22" s="171" t="s">
        <v>408</v>
      </c>
      <c r="B22" s="722"/>
      <c r="C22" s="241"/>
      <c r="F22" s="608"/>
      <c r="G22" s="609"/>
      <c r="H22" s="610"/>
    </row>
    <row r="23" spans="1:8" ht="23.1" customHeight="1" thickBot="1">
      <c r="A23" s="725" t="s">
        <v>411</v>
      </c>
      <c r="B23" s="726">
        <f>IF(B21="",0,IF(B21&lt;=G24,H24,IF(B21&gt;G21,0,H24+(H21-H24)/(G21-G24)*(B21-G24))))</f>
        <v>0</v>
      </c>
      <c r="C23" s="409"/>
      <c r="F23" s="608"/>
      <c r="G23" s="609"/>
      <c r="H23" s="610"/>
    </row>
    <row r="24" spans="1:8" ht="23.1" customHeight="1" thickBot="1">
      <c r="A24" s="727" t="s">
        <v>412</v>
      </c>
      <c r="B24" s="728">
        <f>IF(B22="",0,IF(B22&lt;=G40,H40,IF(B22&gt;G38,0,H40+(H38-H40)/(G38-G40)*(B22-G40))))</f>
        <v>0</v>
      </c>
      <c r="C24" s="414"/>
      <c r="F24" s="608" t="s">
        <v>331</v>
      </c>
      <c r="G24" s="609">
        <v>150</v>
      </c>
      <c r="H24" s="610">
        <v>220</v>
      </c>
    </row>
    <row r="25" spans="1:8" ht="23.1" customHeight="1" thickBot="1">
      <c r="A25" s="727" t="s">
        <v>413</v>
      </c>
      <c r="B25" s="729">
        <f>B24+B23</f>
        <v>0</v>
      </c>
    </row>
    <row r="26" spans="1:8" ht="23.1" customHeight="1"/>
    <row r="27" spans="1:8" ht="23.1" customHeight="1" thickBot="1">
      <c r="A27" s="602" t="s">
        <v>327</v>
      </c>
      <c r="B27" s="603"/>
    </row>
    <row r="28" spans="1:8" ht="24.95" customHeight="1">
      <c r="A28" s="392" t="s">
        <v>84</v>
      </c>
      <c r="B28" s="395" t="s">
        <v>40</v>
      </c>
      <c r="C28" s="417" t="s">
        <v>24</v>
      </c>
      <c r="F28" s="605"/>
      <c r="G28" s="606" t="s">
        <v>237</v>
      </c>
      <c r="H28" s="607" t="s">
        <v>40</v>
      </c>
    </row>
    <row r="29" spans="1:8" ht="23.1" customHeight="1">
      <c r="A29" s="394" t="s">
        <v>325</v>
      </c>
      <c r="B29" s="416"/>
      <c r="C29" s="241"/>
      <c r="D29" s="259"/>
      <c r="F29" s="608" t="s">
        <v>330</v>
      </c>
      <c r="G29" s="609">
        <v>750</v>
      </c>
      <c r="H29" s="610">
        <v>0</v>
      </c>
    </row>
    <row r="30" spans="1:8" ht="23.1" customHeight="1" thickBot="1">
      <c r="A30" s="171" t="s">
        <v>408</v>
      </c>
      <c r="B30" s="722"/>
      <c r="C30" s="713"/>
      <c r="D30" s="721"/>
      <c r="F30" s="608"/>
      <c r="G30" s="609"/>
      <c r="H30" s="610"/>
    </row>
    <row r="31" spans="1:8" ht="23.1" customHeight="1" thickBot="1">
      <c r="A31" s="725" t="s">
        <v>411</v>
      </c>
      <c r="B31" s="726">
        <f>IF(B29="",0,IF(B29&lt;=G32,H32,IF(B29&gt;G29,0,H32+(H29-H32)/(G29-G32)*(B29-G32))))</f>
        <v>0</v>
      </c>
      <c r="C31" s="241"/>
      <c r="D31" s="721"/>
      <c r="F31" s="608"/>
      <c r="G31" s="609"/>
      <c r="H31" s="610"/>
    </row>
    <row r="32" spans="1:8" ht="23.1" customHeight="1" thickBot="1">
      <c r="A32" s="727" t="s">
        <v>412</v>
      </c>
      <c r="B32" s="728">
        <f>IF(B30="",0,IF(B30&lt;=G40,H40,IF(B30&gt;G38,0,H40+(H38-H40)/(G38-G40)*(B30-G40))))</f>
        <v>0</v>
      </c>
      <c r="C32" s="414"/>
      <c r="F32" s="608" t="s">
        <v>331</v>
      </c>
      <c r="G32" s="609">
        <v>150</v>
      </c>
      <c r="H32" s="610">
        <v>240</v>
      </c>
    </row>
    <row r="33" spans="1:8" ht="16.5" thickBot="1">
      <c r="A33" s="727" t="s">
        <v>413</v>
      </c>
      <c r="B33" s="729">
        <f>B32+B31</f>
        <v>0</v>
      </c>
    </row>
    <row r="34" spans="1:8" ht="13.5" thickBot="1"/>
    <row r="35" spans="1:8" ht="15.75" thickBot="1">
      <c r="F35" s="926" t="s">
        <v>28</v>
      </c>
      <c r="G35" s="927"/>
      <c r="H35" s="928"/>
    </row>
    <row r="36" spans="1:8" ht="13.5" thickBot="1"/>
    <row r="37" spans="1:8">
      <c r="F37" s="605"/>
      <c r="G37" s="606" t="s">
        <v>237</v>
      </c>
      <c r="H37" s="607" t="s">
        <v>40</v>
      </c>
    </row>
    <row r="38" spans="1:8" ht="15.75">
      <c r="F38" s="608" t="s">
        <v>409</v>
      </c>
      <c r="G38" s="723">
        <v>650</v>
      </c>
      <c r="H38" s="610">
        <v>0</v>
      </c>
    </row>
    <row r="39" spans="1:8" ht="15.75">
      <c r="F39" s="608"/>
      <c r="G39" s="609"/>
      <c r="H39" s="610"/>
    </row>
    <row r="40" spans="1:8" ht="15.75">
      <c r="F40" s="608" t="s">
        <v>410</v>
      </c>
      <c r="G40" s="609">
        <v>50</v>
      </c>
      <c r="H40" s="724">
        <v>55</v>
      </c>
    </row>
  </sheetData>
  <sheetProtection algorithmName="SHA-512" hashValue="pnS3NmD7ZwcqjfVhk/3IoMQLRQzaYkBNcqI9Cn3+J86kUdyUJFy9XTOHafNE1eTA18Hh2bLUfqazz9+GotCcyg==" saltValue="hfLd0C/1EE+7WkoNEpqQrg==" spinCount="100000" sheet="1" selectLockedCells="1"/>
  <mergeCells count="3">
    <mergeCell ref="A1:B1"/>
    <mergeCell ref="F1:H1"/>
    <mergeCell ref="F35:H35"/>
  </mergeCells>
  <phoneticPr fontId="45" type="noConversion"/>
  <printOptions horizontalCentered="1"/>
  <pageMargins left="0.59055118110236227" right="0.59055118110236227" top="0.59055118110236227" bottom="0.59055118110236227" header="0.31496062992125984" footer="0.31496062992125984"/>
  <pageSetup paperSize="9" scale="8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fitToPage="1"/>
  </sheetPr>
  <dimension ref="A1:H25"/>
  <sheetViews>
    <sheetView showGridLines="0" zoomScaleNormal="100" workbookViewId="0">
      <selection activeCell="B23" sqref="B23"/>
    </sheetView>
  </sheetViews>
  <sheetFormatPr baseColWidth="10" defaultColWidth="11.42578125" defaultRowHeight="12.75"/>
  <cols>
    <col min="1" max="1" width="55.7109375" style="180" customWidth="1"/>
    <col min="2" max="2" width="15.7109375" style="308" customWidth="1"/>
    <col min="3" max="3" width="30.7109375" style="228" customWidth="1"/>
    <col min="4" max="4" width="2.7109375" style="198" customWidth="1"/>
    <col min="5" max="5" width="11.42578125" style="198"/>
    <col min="6" max="6" width="17.7109375" style="198" hidden="1" customWidth="1"/>
    <col min="7" max="8" width="0" style="198" hidden="1" customWidth="1"/>
    <col min="9" max="16384" width="11.42578125" style="198"/>
  </cols>
  <sheetData>
    <row r="1" spans="1:8" ht="23.1" customHeight="1" thickBot="1">
      <c r="A1" s="849" t="s">
        <v>328</v>
      </c>
      <c r="B1" s="849"/>
      <c r="C1" s="209"/>
      <c r="F1" s="926" t="s">
        <v>28</v>
      </c>
      <c r="G1" s="927"/>
      <c r="H1" s="928"/>
    </row>
    <row r="2" spans="1:8" ht="15" customHeight="1">
      <c r="A2" s="203"/>
      <c r="B2" s="210"/>
    </row>
    <row r="3" spans="1:8" ht="23.1" customHeight="1" thickBot="1">
      <c r="A3" s="602" t="s">
        <v>262</v>
      </c>
      <c r="B3" s="598"/>
    </row>
    <row r="4" spans="1:8" s="171" customFormat="1" ht="24.95" customHeight="1">
      <c r="A4" s="398" t="s">
        <v>84</v>
      </c>
      <c r="B4" s="392" t="s">
        <v>40</v>
      </c>
      <c r="C4" s="405" t="s">
        <v>24</v>
      </c>
      <c r="D4" s="260"/>
      <c r="F4" s="605"/>
      <c r="G4" s="606" t="s">
        <v>237</v>
      </c>
      <c r="H4" s="607" t="s">
        <v>40</v>
      </c>
    </row>
    <row r="5" spans="1:8" s="171" customFormat="1" ht="23.1" customHeight="1">
      <c r="A5" s="399" t="s">
        <v>329</v>
      </c>
      <c r="B5" s="406"/>
      <c r="C5" s="241"/>
      <c r="F5" s="608" t="s">
        <v>332</v>
      </c>
      <c r="G5" s="609">
        <v>20</v>
      </c>
      <c r="H5" s="610">
        <v>0</v>
      </c>
    </row>
    <row r="6" spans="1:8" s="167" customFormat="1" ht="23.1" customHeight="1" thickBot="1">
      <c r="A6" s="400" t="s">
        <v>326</v>
      </c>
      <c r="B6" s="396">
        <f>IF(B5="",0,IF(B5&lt;=G6,H6,IF(B5&gt;G5,0,H5+(H6/(G6-G5)*(B5-G5)))))</f>
        <v>0</v>
      </c>
      <c r="F6" s="608" t="s">
        <v>333</v>
      </c>
      <c r="G6" s="609">
        <v>8</v>
      </c>
      <c r="H6" s="610">
        <v>55</v>
      </c>
    </row>
    <row r="7" spans="1:8" ht="15" customHeight="1">
      <c r="A7" s="407"/>
      <c r="B7" s="408"/>
      <c r="F7" s="171"/>
      <c r="G7" s="171"/>
      <c r="H7" s="171"/>
    </row>
    <row r="8" spans="1:8" ht="15" customHeight="1"/>
    <row r="9" spans="1:8" ht="23.1" customHeight="1" thickBot="1">
      <c r="A9" s="602" t="s">
        <v>377</v>
      </c>
      <c r="B9" s="603"/>
      <c r="C9" s="362"/>
    </row>
    <row r="10" spans="1:8" ht="24.95" customHeight="1">
      <c r="A10" s="401" t="s">
        <v>84</v>
      </c>
      <c r="B10" s="397" t="s">
        <v>40</v>
      </c>
      <c r="C10" s="405" t="s">
        <v>24</v>
      </c>
      <c r="D10" s="259"/>
      <c r="F10" s="605"/>
      <c r="G10" s="606" t="s">
        <v>237</v>
      </c>
      <c r="H10" s="607" t="s">
        <v>40</v>
      </c>
    </row>
    <row r="11" spans="1:8" ht="23.1" customHeight="1">
      <c r="A11" s="402" t="s">
        <v>329</v>
      </c>
      <c r="B11" s="406"/>
      <c r="C11" s="409"/>
      <c r="F11" s="608" t="s">
        <v>332</v>
      </c>
      <c r="G11" s="609">
        <v>20</v>
      </c>
      <c r="H11" s="610">
        <v>0</v>
      </c>
    </row>
    <row r="12" spans="1:8" ht="23.1" customHeight="1" thickBot="1">
      <c r="A12" s="403" t="s">
        <v>31</v>
      </c>
      <c r="B12" s="396">
        <f>IF(B11="",0,IF(B11&lt;=G12,H12,IF(B11&gt;G11,0,H11+(H12/(G12-G11)*(B11-G11)))))</f>
        <v>0</v>
      </c>
      <c r="C12" s="410"/>
      <c r="F12" s="608" t="s">
        <v>333</v>
      </c>
      <c r="G12" s="609">
        <v>8</v>
      </c>
      <c r="H12" s="610">
        <v>75</v>
      </c>
    </row>
    <row r="13" spans="1:8" ht="15" customHeight="1">
      <c r="A13" s="411"/>
      <c r="C13" s="198"/>
    </row>
    <row r="14" spans="1:8" ht="23.1" customHeight="1">
      <c r="A14" s="412"/>
      <c r="C14" s="198"/>
    </row>
    <row r="15" spans="1:8" ht="23.1" customHeight="1" thickBot="1">
      <c r="A15" s="602" t="s">
        <v>378</v>
      </c>
      <c r="B15" s="603"/>
      <c r="C15" s="413"/>
    </row>
    <row r="16" spans="1:8" ht="24.95" customHeight="1">
      <c r="A16" s="401" t="s">
        <v>84</v>
      </c>
      <c r="B16" s="397" t="s">
        <v>40</v>
      </c>
      <c r="C16" s="405" t="s">
        <v>24</v>
      </c>
      <c r="D16" s="259"/>
      <c r="F16" s="605"/>
      <c r="G16" s="606" t="s">
        <v>237</v>
      </c>
      <c r="H16" s="607" t="s">
        <v>40</v>
      </c>
    </row>
    <row r="17" spans="1:8" ht="23.1" customHeight="1">
      <c r="A17" s="402" t="s">
        <v>329</v>
      </c>
      <c r="B17" s="406"/>
      <c r="C17" s="409"/>
      <c r="F17" s="608" t="s">
        <v>332</v>
      </c>
      <c r="G17" s="609">
        <v>20</v>
      </c>
      <c r="H17" s="610">
        <v>0</v>
      </c>
    </row>
    <row r="18" spans="1:8" ht="23.1" customHeight="1" thickBot="1">
      <c r="A18" s="403" t="s">
        <v>31</v>
      </c>
      <c r="B18" s="396">
        <f>IF(B17="",0,IF(B17&lt;=G18,H18,IF(B17&gt;G17,0,H17+(H18/(G18-G17)*(B17-G17)))))</f>
        <v>0</v>
      </c>
      <c r="C18" s="414"/>
      <c r="F18" s="608" t="s">
        <v>333</v>
      </c>
      <c r="G18" s="609">
        <v>8</v>
      </c>
      <c r="H18" s="610">
        <v>130</v>
      </c>
    </row>
    <row r="19" spans="1:8" ht="23.1" customHeight="1">
      <c r="A19" s="407"/>
    </row>
    <row r="20" spans="1:8" ht="23.1" customHeight="1"/>
    <row r="21" spans="1:8" ht="23.1" customHeight="1" thickBot="1">
      <c r="A21" s="602" t="s">
        <v>327</v>
      </c>
      <c r="B21" s="603"/>
      <c r="C21" s="413"/>
    </row>
    <row r="22" spans="1:8" ht="24.95" customHeight="1">
      <c r="A22" s="401" t="s">
        <v>84</v>
      </c>
      <c r="B22" s="392" t="s">
        <v>40</v>
      </c>
      <c r="C22" s="405" t="s">
        <v>24</v>
      </c>
      <c r="D22" s="259"/>
      <c r="F22" s="605"/>
      <c r="G22" s="606" t="s">
        <v>237</v>
      </c>
      <c r="H22" s="607" t="s">
        <v>40</v>
      </c>
    </row>
    <row r="23" spans="1:8" ht="23.1" customHeight="1">
      <c r="A23" s="402" t="s">
        <v>329</v>
      </c>
      <c r="B23" s="406"/>
      <c r="C23" s="241"/>
      <c r="D23" s="259"/>
      <c r="F23" s="608" t="s">
        <v>332</v>
      </c>
      <c r="G23" s="609">
        <v>20</v>
      </c>
      <c r="H23" s="610">
        <v>0</v>
      </c>
    </row>
    <row r="24" spans="1:8" ht="23.1" customHeight="1" thickBot="1">
      <c r="A24" s="404" t="s">
        <v>31</v>
      </c>
      <c r="B24" s="396">
        <f>IF(B23="",0,IF(B23&lt;=G24,H24,IF(B23&gt;G23,0,H23+(H24/(G24-G23)*(B23-G23)))))</f>
        <v>0</v>
      </c>
      <c r="C24" s="414"/>
      <c r="F24" s="608" t="s">
        <v>333</v>
      </c>
      <c r="G24" s="609">
        <v>8</v>
      </c>
      <c r="H24" s="610">
        <v>120</v>
      </c>
    </row>
    <row r="25" spans="1:8">
      <c r="A25" s="407"/>
    </row>
  </sheetData>
  <sheetProtection algorithmName="SHA-512" hashValue="Bpq5aQZX/uwefQzXoF5KG2zHLgJKfsfYc+6FA3v4G31XksRuA62Ei+EXnaYT4FkNXHnWuQZvPJzloBLxgMdL7A==" saltValue="pHAGXBRyEsUhN8v9LSotKw==" spinCount="100000" sheet="1" selectLockedCells="1"/>
  <mergeCells count="2">
    <mergeCell ref="A1:B1"/>
    <mergeCell ref="F1:H1"/>
  </mergeCells>
  <printOptions horizontalCentered="1"/>
  <pageMargins left="0.59055118110236227" right="0.59055118110236227" top="0.59055118110236227" bottom="0.59055118110236227" header="0.31496062992125984" footer="0.31496062992125984"/>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outlinePr summaryRight="0"/>
    <pageSetUpPr fitToPage="1"/>
  </sheetPr>
  <dimension ref="A1:AZ53"/>
  <sheetViews>
    <sheetView showGridLines="0" showRuler="0" showWhiteSpace="0" topLeftCell="D16" zoomScale="80" zoomScaleNormal="80" zoomScaleSheetLayoutView="100" workbookViewId="0">
      <selection activeCell="K42" sqref="K42"/>
    </sheetView>
  </sheetViews>
  <sheetFormatPr baseColWidth="10" defaultColWidth="11.42578125" defaultRowHeight="12.75" outlineLevelCol="1"/>
  <cols>
    <col min="1" max="2" width="1.7109375" style="17" customWidth="1"/>
    <col min="3" max="3" width="31.5703125" style="27" customWidth="1"/>
    <col min="4" max="4" width="12.85546875" style="28" customWidth="1"/>
    <col min="5" max="5" width="5.28515625" style="31" customWidth="1"/>
    <col min="6" max="6" width="67.28515625" style="29" customWidth="1"/>
    <col min="7" max="7" width="16.85546875" style="27" customWidth="1"/>
    <col min="8" max="8" width="24.140625" style="65" customWidth="1"/>
    <col min="9" max="9" width="9.42578125" style="29" hidden="1" customWidth="1"/>
    <col min="10" max="10" width="2.85546875" style="29" customWidth="1"/>
    <col min="11" max="11" width="15" style="29" customWidth="1"/>
    <col min="12" max="12" width="15.5703125" style="29" customWidth="1"/>
    <col min="13" max="13" width="2.85546875" style="29" customWidth="1"/>
    <col min="14" max="15" width="15.7109375" style="29" customWidth="1"/>
    <col min="16" max="16" width="2.85546875" style="29" customWidth="1"/>
    <col min="17" max="18" width="15.7109375" style="29" customWidth="1"/>
    <col min="19" max="19" width="2.85546875" style="29" customWidth="1"/>
    <col min="20" max="21" width="15.7109375" style="29" customWidth="1"/>
    <col min="22" max="22" width="2.85546875" style="29" customWidth="1"/>
    <col min="23" max="23" width="2.85546875" style="29" customWidth="1" collapsed="1"/>
    <col min="24" max="24" width="3.7109375" style="29" hidden="1" customWidth="1" outlineLevel="1"/>
    <col min="25" max="25" width="11.28515625" style="29" hidden="1" customWidth="1" outlineLevel="1"/>
    <col min="26" max="26" width="46.5703125" style="17" hidden="1" customWidth="1" outlineLevel="1"/>
    <col min="27" max="27" width="3.7109375" style="17" hidden="1" customWidth="1" outlineLevel="1"/>
    <col min="28" max="28" width="3.7109375" style="29" customWidth="1" collapsed="1"/>
    <col min="29" max="29" width="3.7109375" style="29" hidden="1" customWidth="1" outlineLevel="1"/>
    <col min="30" max="30" width="11.28515625" style="29" hidden="1" customWidth="1" outlineLevel="1"/>
    <col min="31" max="31" width="46.5703125" style="17" hidden="1" customWidth="1" outlineLevel="1"/>
    <col min="32" max="32" width="3.7109375" style="17" hidden="1" customWidth="1" outlineLevel="1"/>
    <col min="33" max="33" width="3.7109375" style="29" customWidth="1" collapsed="1"/>
    <col min="34" max="34" width="3.7109375" style="29" hidden="1" customWidth="1" outlineLevel="1"/>
    <col min="35" max="35" width="11.28515625" style="29" hidden="1" customWidth="1" outlineLevel="1"/>
    <col min="36" max="36" width="46.5703125" style="17" hidden="1" customWidth="1" outlineLevel="1"/>
    <col min="37" max="37" width="3.7109375" style="17" hidden="1" customWidth="1" outlineLevel="1"/>
    <col min="38" max="38" width="3.7109375" style="17" customWidth="1" collapsed="1"/>
    <col min="39" max="39" width="3.7109375" style="29" hidden="1" customWidth="1" outlineLevel="1"/>
    <col min="40" max="40" width="11.28515625" style="29" hidden="1" customWidth="1" outlineLevel="1"/>
    <col min="41" max="41" width="46.5703125" style="17" hidden="1" customWidth="1" outlineLevel="1"/>
    <col min="42" max="42" width="3.7109375" style="17" hidden="1" customWidth="1" outlineLevel="1"/>
    <col min="43" max="43" width="3.7109375" style="17" customWidth="1" collapsed="1"/>
    <col min="44" max="44" width="3.7109375" style="29" hidden="1" customWidth="1" outlineLevel="1"/>
    <col min="45" max="45" width="11.28515625" style="29" hidden="1" customWidth="1" outlineLevel="1"/>
    <col min="46" max="46" width="46.5703125" style="17" hidden="1" customWidth="1" outlineLevel="1"/>
    <col min="47" max="47" width="3.7109375" style="17" hidden="1" customWidth="1" outlineLevel="1"/>
    <col min="48" max="48" width="3.7109375" style="17" customWidth="1" collapsed="1"/>
    <col min="49" max="49" width="3.7109375" style="29" hidden="1" customWidth="1" outlineLevel="1"/>
    <col min="50" max="50" width="11.28515625" style="29" hidden="1" customWidth="1" outlineLevel="1"/>
    <col min="51" max="51" width="46.5703125" style="17" hidden="1" customWidth="1" outlineLevel="1"/>
    <col min="52" max="52" width="3.7109375" style="17" hidden="1" customWidth="1" outlineLevel="1"/>
    <col min="53" max="53" width="3.7109375" style="17" customWidth="1"/>
    <col min="54" max="16384" width="11.42578125" style="17"/>
  </cols>
  <sheetData>
    <row r="1" spans="1:51" ht="78" customHeight="1" thickBot="1">
      <c r="A1" s="20"/>
      <c r="B1" s="20"/>
      <c r="C1" s="787" t="s">
        <v>414</v>
      </c>
      <c r="D1" s="788"/>
      <c r="E1" s="788"/>
      <c r="F1" s="788"/>
      <c r="G1" s="788"/>
      <c r="H1" s="788"/>
      <c r="I1" s="68"/>
      <c r="J1" s="68"/>
      <c r="K1" s="68"/>
      <c r="L1" s="68"/>
      <c r="M1" s="68"/>
      <c r="N1" s="68"/>
      <c r="O1" s="68"/>
      <c r="P1" s="68"/>
      <c r="Q1" s="68"/>
      <c r="R1" s="68"/>
      <c r="S1" s="68"/>
      <c r="T1" s="68"/>
      <c r="U1" s="68"/>
      <c r="V1" s="68"/>
      <c r="W1" s="30">
        <f>Z9</f>
        <v>0</v>
      </c>
      <c r="AB1" s="30">
        <f>AE9</f>
        <v>0</v>
      </c>
      <c r="AG1" s="30">
        <f>AJ9</f>
        <v>0</v>
      </c>
      <c r="AL1" s="30">
        <f>AO9</f>
        <v>0</v>
      </c>
      <c r="AQ1" s="30">
        <f>AT9</f>
        <v>0</v>
      </c>
      <c r="AV1" s="30">
        <f>AY9</f>
        <v>0</v>
      </c>
    </row>
    <row r="2" spans="1:51" ht="38.25" customHeight="1" thickBot="1">
      <c r="A2" s="20"/>
      <c r="B2" s="20"/>
      <c r="C2" s="69" t="s">
        <v>16</v>
      </c>
      <c r="D2" s="799"/>
      <c r="E2" s="800"/>
      <c r="F2" s="800"/>
      <c r="G2" s="800"/>
      <c r="H2" s="801"/>
      <c r="I2" s="68"/>
      <c r="J2" s="68"/>
      <c r="K2" s="68"/>
      <c r="L2" s="68"/>
      <c r="M2" s="68"/>
      <c r="N2" s="68"/>
      <c r="O2" s="68"/>
      <c r="P2" s="68"/>
      <c r="Q2" s="68"/>
      <c r="R2" s="68"/>
      <c r="S2" s="68"/>
      <c r="T2" s="68"/>
      <c r="U2" s="68"/>
      <c r="V2" s="68"/>
      <c r="W2" s="821" t="s">
        <v>17</v>
      </c>
      <c r="AB2" s="821" t="s">
        <v>18</v>
      </c>
      <c r="AG2" s="821" t="s">
        <v>19</v>
      </c>
      <c r="AL2" s="821" t="s">
        <v>20</v>
      </c>
      <c r="AQ2" s="821" t="s">
        <v>21</v>
      </c>
      <c r="AV2" s="821" t="s">
        <v>22</v>
      </c>
    </row>
    <row r="3" spans="1:51" ht="49.5" customHeight="1">
      <c r="A3" s="20"/>
      <c r="B3" s="20"/>
      <c r="C3" s="115" t="s">
        <v>23</v>
      </c>
      <c r="D3" s="103"/>
      <c r="E3" s="103"/>
      <c r="F3" s="103"/>
      <c r="G3" s="103"/>
      <c r="H3" s="103"/>
      <c r="I3" s="68"/>
      <c r="J3" s="68"/>
      <c r="K3" s="68"/>
      <c r="L3" s="68"/>
      <c r="M3" s="68"/>
      <c r="N3" s="68"/>
      <c r="O3" s="68"/>
      <c r="P3" s="68"/>
      <c r="Q3" s="68"/>
      <c r="R3" s="68"/>
      <c r="S3" s="68"/>
      <c r="T3" s="68"/>
      <c r="U3" s="68"/>
      <c r="V3" s="68"/>
      <c r="W3" s="821"/>
      <c r="AB3" s="821"/>
      <c r="AG3" s="821"/>
      <c r="AL3" s="821"/>
      <c r="AQ3" s="821"/>
      <c r="AV3" s="821"/>
    </row>
    <row r="4" spans="1:51" ht="30" customHeight="1" thickBot="1">
      <c r="A4" s="20"/>
      <c r="B4" s="20"/>
      <c r="C4" s="115"/>
      <c r="D4" s="594"/>
      <c r="E4" s="103"/>
      <c r="F4" s="157" t="s">
        <v>24</v>
      </c>
      <c r="G4" s="247"/>
      <c r="H4" s="103"/>
      <c r="I4" s="68"/>
      <c r="J4" s="68"/>
      <c r="K4" s="68"/>
      <c r="L4" s="68"/>
      <c r="M4" s="68"/>
      <c r="N4" s="68"/>
      <c r="O4" s="68"/>
      <c r="P4" s="68"/>
      <c r="Q4" s="68"/>
      <c r="R4" s="68"/>
      <c r="S4" s="68"/>
      <c r="T4" s="68"/>
      <c r="U4" s="68"/>
      <c r="V4" s="68"/>
      <c r="W4" s="821"/>
      <c r="AB4" s="821"/>
      <c r="AG4" s="821"/>
      <c r="AL4" s="821"/>
      <c r="AQ4" s="821"/>
      <c r="AV4" s="821"/>
    </row>
    <row r="5" spans="1:51" ht="30" customHeight="1">
      <c r="A5" s="20"/>
      <c r="B5" s="20"/>
      <c r="C5" s="244" t="s">
        <v>25</v>
      </c>
      <c r="D5" s="324">
        <v>1</v>
      </c>
      <c r="E5" s="287" t="s">
        <v>26</v>
      </c>
      <c r="F5" s="241"/>
      <c r="G5" s="248"/>
      <c r="H5" s="249" t="s">
        <v>27</v>
      </c>
      <c r="I5" s="68"/>
      <c r="J5" s="68"/>
      <c r="K5" s="68"/>
      <c r="L5" s="68"/>
      <c r="M5" s="68"/>
      <c r="N5" s="68"/>
      <c r="O5" s="68"/>
      <c r="P5" s="68"/>
      <c r="Q5" s="68"/>
      <c r="R5" s="68"/>
      <c r="S5" s="68"/>
      <c r="T5" s="68"/>
      <c r="U5" s="68"/>
      <c r="V5" s="68"/>
      <c r="W5" s="821"/>
      <c r="AB5" s="821"/>
      <c r="AG5" s="821"/>
      <c r="AL5" s="821"/>
      <c r="AQ5" s="821"/>
      <c r="AV5" s="821"/>
    </row>
    <row r="6" spans="1:51" ht="30" customHeight="1">
      <c r="A6" s="20"/>
      <c r="B6" s="243"/>
      <c r="C6" s="245" t="s">
        <v>372</v>
      </c>
      <c r="D6" s="323">
        <v>1</v>
      </c>
      <c r="E6" s="239" t="s">
        <v>26</v>
      </c>
      <c r="F6" s="234"/>
      <c r="G6" s="252"/>
      <c r="H6" s="251" t="s">
        <v>28</v>
      </c>
      <c r="I6" s="68"/>
      <c r="J6" s="250"/>
      <c r="K6" s="68"/>
      <c r="L6" s="68"/>
      <c r="M6" s="68"/>
      <c r="N6" s="68"/>
      <c r="O6" s="68"/>
      <c r="P6" s="68"/>
      <c r="Q6" s="68"/>
      <c r="R6" s="68"/>
      <c r="S6" s="68"/>
      <c r="T6" s="68"/>
      <c r="U6" s="68"/>
      <c r="V6" s="68"/>
      <c r="W6" s="821"/>
      <c r="AB6" s="821"/>
      <c r="AG6" s="821"/>
      <c r="AL6" s="821"/>
      <c r="AQ6" s="821"/>
      <c r="AV6" s="821"/>
    </row>
    <row r="7" spans="1:51" ht="30" customHeight="1">
      <c r="A7" s="20"/>
      <c r="B7" s="243"/>
      <c r="C7" s="245" t="s">
        <v>373</v>
      </c>
      <c r="D7" s="322">
        <v>1</v>
      </c>
      <c r="E7" s="240" t="s">
        <v>26</v>
      </c>
      <c r="F7" s="241"/>
      <c r="G7" s="103"/>
      <c r="H7" s="103"/>
      <c r="I7" s="68"/>
      <c r="J7" s="68"/>
      <c r="K7" s="68"/>
      <c r="L7" s="68"/>
      <c r="M7" s="68"/>
      <c r="N7" s="68"/>
      <c r="O7" s="68"/>
      <c r="P7" s="68"/>
      <c r="Q7" s="68"/>
      <c r="R7" s="68"/>
      <c r="S7" s="68"/>
      <c r="T7" s="68"/>
      <c r="U7" s="68"/>
      <c r="V7" s="68"/>
      <c r="W7" s="821"/>
      <c r="AB7" s="821"/>
      <c r="AG7" s="821"/>
      <c r="AL7" s="821"/>
      <c r="AQ7" s="821"/>
      <c r="AV7" s="821"/>
    </row>
    <row r="8" spans="1:51" ht="30" customHeight="1" thickBot="1">
      <c r="A8" s="20"/>
      <c r="B8" s="20"/>
      <c r="C8" s="245" t="s">
        <v>29</v>
      </c>
      <c r="D8" s="321">
        <v>1</v>
      </c>
      <c r="E8" s="240" t="s">
        <v>26</v>
      </c>
      <c r="F8" s="241"/>
      <c r="G8" s="803" t="s">
        <v>30</v>
      </c>
      <c r="H8" s="804"/>
      <c r="I8" s="68"/>
      <c r="J8" s="68"/>
      <c r="K8" s="68"/>
      <c r="L8" s="68"/>
      <c r="M8" s="68"/>
      <c r="N8" s="68"/>
      <c r="O8" s="68"/>
      <c r="P8" s="68"/>
      <c r="Q8" s="68"/>
      <c r="R8" s="68"/>
      <c r="S8" s="68"/>
      <c r="T8" s="68"/>
      <c r="U8" s="68"/>
      <c r="V8" s="68"/>
      <c r="W8" s="822"/>
      <c r="AB8" s="824"/>
      <c r="AG8" s="824"/>
      <c r="AL8" s="823"/>
      <c r="AQ8" s="823"/>
      <c r="AV8" s="823"/>
    </row>
    <row r="9" spans="1:51" ht="30" customHeight="1" thickBot="1">
      <c r="A9" s="20"/>
      <c r="B9" s="20"/>
      <c r="C9" s="246" t="s">
        <v>31</v>
      </c>
      <c r="D9" s="320">
        <f>SUM(D5:D8)</f>
        <v>4</v>
      </c>
      <c r="E9" s="286" t="s">
        <v>26</v>
      </c>
      <c r="F9" s="238"/>
      <c r="G9" s="797">
        <f>IF((H13+H23+H32+H39)&lt;1000,(H13+H23+H32+H39),1000)</f>
        <v>90</v>
      </c>
      <c r="H9" s="798">
        <f>IF(SUM(H11:H16)&lt;225,SUM(H11:H16),225)</f>
        <v>180</v>
      </c>
      <c r="I9" s="68"/>
      <c r="J9" s="68"/>
      <c r="K9" s="754" t="s">
        <v>32</v>
      </c>
      <c r="L9" s="755"/>
      <c r="M9" s="755"/>
      <c r="N9" s="755"/>
      <c r="O9" s="755"/>
      <c r="P9" s="755"/>
      <c r="Q9" s="755"/>
      <c r="R9" s="755"/>
      <c r="S9" s="755"/>
      <c r="T9" s="755"/>
      <c r="U9" s="756"/>
      <c r="V9" s="68"/>
      <c r="W9" s="68"/>
      <c r="Y9" s="32" t="s">
        <v>33</v>
      </c>
      <c r="Z9" s="33"/>
      <c r="AA9" s="34"/>
      <c r="AD9" s="32" t="s">
        <v>33</v>
      </c>
      <c r="AE9" s="33"/>
      <c r="AF9" s="34"/>
      <c r="AI9" s="32" t="s">
        <v>33</v>
      </c>
      <c r="AJ9" s="33"/>
      <c r="AK9" s="34"/>
      <c r="AN9" s="32" t="s">
        <v>33</v>
      </c>
      <c r="AO9" s="33"/>
      <c r="AP9" s="34"/>
      <c r="AS9" s="32" t="s">
        <v>33</v>
      </c>
      <c r="AT9" s="33"/>
      <c r="AU9" s="34"/>
      <c r="AX9" s="32" t="s">
        <v>33</v>
      </c>
      <c r="AY9" s="33"/>
    </row>
    <row r="10" spans="1:51" s="113" customFormat="1" ht="30" customHeight="1">
      <c r="A10" s="106"/>
      <c r="B10" s="106"/>
      <c r="C10" s="285"/>
      <c r="D10" s="114"/>
      <c r="E10" s="242"/>
      <c r="F10" s="107"/>
      <c r="G10" s="802"/>
      <c r="H10" s="802"/>
      <c r="I10" s="108"/>
      <c r="J10" s="108"/>
      <c r="K10" s="757" t="s">
        <v>34</v>
      </c>
      <c r="L10" s="758"/>
      <c r="M10" s="108"/>
      <c r="N10" s="761" t="s">
        <v>374</v>
      </c>
      <c r="O10" s="762"/>
      <c r="P10" s="253"/>
      <c r="Q10" s="761" t="s">
        <v>375</v>
      </c>
      <c r="R10" s="765"/>
      <c r="S10" s="254"/>
      <c r="T10" s="768" t="s">
        <v>35</v>
      </c>
      <c r="U10" s="769"/>
      <c r="V10" s="108"/>
      <c r="W10" s="108"/>
      <c r="X10" s="109"/>
      <c r="Y10" s="110"/>
      <c r="Z10" s="111"/>
      <c r="AA10" s="112"/>
      <c r="AB10" s="109"/>
      <c r="AC10" s="109"/>
      <c r="AD10" s="110"/>
      <c r="AE10" s="111"/>
      <c r="AF10" s="112"/>
      <c r="AG10" s="109"/>
      <c r="AH10" s="109"/>
      <c r="AI10" s="110"/>
      <c r="AJ10" s="111"/>
      <c r="AK10" s="112"/>
      <c r="AM10" s="109"/>
      <c r="AN10" s="110"/>
      <c r="AO10" s="111"/>
      <c r="AP10" s="112"/>
      <c r="AR10" s="109"/>
      <c r="AS10" s="110"/>
      <c r="AT10" s="111"/>
      <c r="AU10" s="112"/>
      <c r="AW10" s="109"/>
      <c r="AX10" s="110"/>
      <c r="AY10" s="111"/>
    </row>
    <row r="11" spans="1:51" ht="31.5" customHeight="1">
      <c r="A11" s="20"/>
      <c r="B11" s="20"/>
      <c r="C11" s="789" t="s">
        <v>36</v>
      </c>
      <c r="D11" s="790"/>
      <c r="E11" s="791"/>
      <c r="F11" s="795" t="s">
        <v>37</v>
      </c>
      <c r="G11" s="104" t="s">
        <v>38</v>
      </c>
      <c r="H11" s="104" t="s">
        <v>39</v>
      </c>
      <c r="I11" s="68"/>
      <c r="J11" s="68"/>
      <c r="K11" s="759"/>
      <c r="L11" s="760"/>
      <c r="M11" s="68"/>
      <c r="N11" s="763"/>
      <c r="O11" s="764"/>
      <c r="P11" s="250"/>
      <c r="Q11" s="766"/>
      <c r="R11" s="767"/>
      <c r="S11" s="255"/>
      <c r="T11" s="770"/>
      <c r="U11" s="771"/>
      <c r="V11" s="68"/>
      <c r="W11" s="68"/>
      <c r="X11" s="35"/>
      <c r="Y11" s="36" t="s">
        <v>40</v>
      </c>
      <c r="Z11" s="1" t="s">
        <v>24</v>
      </c>
      <c r="AA11" s="14"/>
      <c r="AC11" s="35"/>
      <c r="AD11" s="36" t="s">
        <v>40</v>
      </c>
      <c r="AE11" s="1" t="s">
        <v>24</v>
      </c>
      <c r="AF11" s="14"/>
      <c r="AH11" s="35"/>
      <c r="AI11" s="36" t="s">
        <v>40</v>
      </c>
      <c r="AJ11" s="1" t="s">
        <v>24</v>
      </c>
      <c r="AK11" s="14"/>
      <c r="AM11" s="35"/>
      <c r="AN11" s="36" t="s">
        <v>40</v>
      </c>
      <c r="AO11" s="1" t="s">
        <v>24</v>
      </c>
      <c r="AP11" s="14"/>
      <c r="AR11" s="35"/>
      <c r="AS11" s="36" t="s">
        <v>40</v>
      </c>
      <c r="AT11" s="1" t="s">
        <v>24</v>
      </c>
      <c r="AU11" s="14"/>
      <c r="AW11" s="35"/>
      <c r="AX11" s="36" t="s">
        <v>40</v>
      </c>
      <c r="AY11" s="1" t="s">
        <v>24</v>
      </c>
    </row>
    <row r="12" spans="1:51" ht="4.5" customHeight="1" thickBot="1">
      <c r="A12" s="20"/>
      <c r="B12" s="20"/>
      <c r="C12" s="792"/>
      <c r="D12" s="793"/>
      <c r="E12" s="794"/>
      <c r="F12" s="796"/>
      <c r="G12" s="70"/>
      <c r="H12" s="104"/>
      <c r="J12" s="68"/>
      <c r="K12" s="257"/>
      <c r="L12" s="256"/>
      <c r="M12" s="68"/>
      <c r="N12" s="257"/>
      <c r="O12" s="256"/>
      <c r="P12" s="68"/>
      <c r="Q12" s="257"/>
      <c r="R12" s="256"/>
      <c r="S12" s="68"/>
      <c r="T12" s="257"/>
      <c r="U12" s="258"/>
      <c r="V12" s="250"/>
      <c r="W12" s="68"/>
      <c r="Y12" s="37"/>
      <c r="AD12" s="37"/>
      <c r="AI12" s="37"/>
      <c r="AN12" s="37"/>
      <c r="AS12" s="37"/>
      <c r="AX12" s="37"/>
    </row>
    <row r="13" spans="1:51" s="12" customFormat="1" ht="32.25" customHeight="1">
      <c r="A13" s="71"/>
      <c r="B13" s="71"/>
      <c r="C13" s="229" t="s">
        <v>41</v>
      </c>
      <c r="D13" s="230"/>
      <c r="E13" s="231"/>
      <c r="F13" s="125" t="s">
        <v>42</v>
      </c>
      <c r="G13" s="325">
        <f>(K13*$D$5+N13*$D$6+Q13*$D$7+T13*$D$8)/($D$9)</f>
        <v>361.25</v>
      </c>
      <c r="H13" s="700">
        <f>IF(SUM(H14:H21)&lt;G13,SUM(H14:H21),G13)</f>
        <v>90</v>
      </c>
      <c r="I13" s="68">
        <v>0</v>
      </c>
      <c r="J13" s="144"/>
      <c r="K13" s="326">
        <v>290</v>
      </c>
      <c r="L13" s="124">
        <f>IF(SUM(L15:L21)&lt;290,SUM(L15:L21),290)</f>
        <v>120</v>
      </c>
      <c r="M13" s="121"/>
      <c r="N13" s="327">
        <v>335</v>
      </c>
      <c r="O13" s="124">
        <f>IF(SUM(O15:O21)&lt;335,SUM(O15:O21),335)</f>
        <v>195</v>
      </c>
      <c r="P13" s="121"/>
      <c r="Q13" s="327">
        <v>400</v>
      </c>
      <c r="R13" s="124">
        <f>IF(SUM(R15:R21)&lt;400,SUM(R15:R21),400)</f>
        <v>22.5</v>
      </c>
      <c r="S13" s="121"/>
      <c r="T13" s="326">
        <v>420</v>
      </c>
      <c r="U13" s="123">
        <f>IF(SUM(U15:U21)&lt;420,SUM(U15:U21),420)</f>
        <v>22.5</v>
      </c>
      <c r="V13" s="72"/>
      <c r="W13" s="72"/>
      <c r="X13" s="39"/>
      <c r="Y13" s="40"/>
      <c r="Z13" s="6"/>
      <c r="AB13" s="38"/>
      <c r="AC13" s="39"/>
      <c r="AD13" s="40"/>
      <c r="AE13" s="6"/>
      <c r="AG13" s="38"/>
      <c r="AH13" s="39"/>
      <c r="AI13" s="41"/>
      <c r="AJ13" s="6"/>
      <c r="AM13" s="39"/>
      <c r="AN13" s="41"/>
      <c r="AO13" s="6"/>
      <c r="AR13" s="39"/>
      <c r="AS13" s="40"/>
      <c r="AT13" s="6"/>
      <c r="AW13" s="39"/>
      <c r="AX13" s="40"/>
      <c r="AY13" s="6"/>
    </row>
    <row r="14" spans="1:51" s="12" customFormat="1" ht="50.25" customHeight="1" thickBot="1">
      <c r="A14" s="71"/>
      <c r="B14" s="71"/>
      <c r="C14" s="73" t="s">
        <v>41</v>
      </c>
      <c r="D14" s="89" t="s">
        <v>45</v>
      </c>
      <c r="E14" s="83">
        <v>1</v>
      </c>
      <c r="F14" s="653" t="s">
        <v>356</v>
      </c>
      <c r="G14" s="698"/>
      <c r="H14" s="702">
        <v>0</v>
      </c>
      <c r="I14" s="11">
        <v>5</v>
      </c>
      <c r="J14" s="120"/>
      <c r="K14" s="152">
        <v>50</v>
      </c>
      <c r="L14" s="131">
        <f>$H$14</f>
        <v>0</v>
      </c>
      <c r="M14" s="133"/>
      <c r="N14" s="152">
        <v>50</v>
      </c>
      <c r="O14" s="131">
        <f>$H$14</f>
        <v>0</v>
      </c>
      <c r="P14" s="133"/>
      <c r="Q14" s="152">
        <v>50</v>
      </c>
      <c r="R14" s="131">
        <f>$H$14</f>
        <v>0</v>
      </c>
      <c r="S14" s="133"/>
      <c r="T14" s="152">
        <v>50</v>
      </c>
      <c r="U14" s="131">
        <f>$H$14</f>
        <v>0</v>
      </c>
      <c r="V14" s="72"/>
      <c r="W14" s="72"/>
      <c r="X14" s="39"/>
      <c r="Y14" s="613"/>
      <c r="Z14" s="6"/>
      <c r="AB14" s="38"/>
      <c r="AC14" s="39"/>
      <c r="AD14" s="613"/>
      <c r="AE14" s="6"/>
      <c r="AG14" s="38"/>
      <c r="AH14" s="39"/>
      <c r="AI14" s="613"/>
      <c r="AJ14" s="6"/>
      <c r="AM14" s="39"/>
      <c r="AN14" s="613"/>
      <c r="AO14" s="6"/>
      <c r="AR14" s="39"/>
      <c r="AS14" s="613"/>
      <c r="AT14" s="6"/>
      <c r="AW14" s="39"/>
      <c r="AX14" s="613"/>
      <c r="AY14" s="6"/>
    </row>
    <row r="15" spans="1:51" s="14" customFormat="1" ht="30" customHeight="1">
      <c r="A15" s="11"/>
      <c r="B15" s="11"/>
      <c r="C15" s="654" t="s">
        <v>41</v>
      </c>
      <c r="D15" s="655">
        <v>1</v>
      </c>
      <c r="E15" s="656">
        <v>2</v>
      </c>
      <c r="F15" s="657" t="s">
        <v>43</v>
      </c>
      <c r="G15" s="699"/>
      <c r="H15" s="702">
        <v>0</v>
      </c>
      <c r="I15" s="75">
        <v>10</v>
      </c>
      <c r="J15" s="145"/>
      <c r="K15" s="160">
        <v>10</v>
      </c>
      <c r="L15" s="118">
        <f>$H$15</f>
        <v>0</v>
      </c>
      <c r="M15" s="122"/>
      <c r="N15" s="140">
        <v>10</v>
      </c>
      <c r="O15" s="118">
        <f>$H$15</f>
        <v>0</v>
      </c>
      <c r="P15" s="122"/>
      <c r="Q15" s="140">
        <v>10</v>
      </c>
      <c r="R15" s="118">
        <f>$H$15</f>
        <v>0</v>
      </c>
      <c r="S15" s="122"/>
      <c r="T15" s="140">
        <v>10</v>
      </c>
      <c r="U15" s="118">
        <f>$H$15</f>
        <v>0</v>
      </c>
      <c r="V15" s="11"/>
      <c r="W15" s="11"/>
      <c r="X15" s="39"/>
      <c r="Y15" s="42"/>
      <c r="Z15" s="7"/>
      <c r="AA15" s="21"/>
      <c r="AC15" s="39"/>
      <c r="AD15" s="42"/>
      <c r="AE15" s="7"/>
      <c r="AF15" s="13"/>
      <c r="AH15" s="39"/>
      <c r="AI15" s="42"/>
      <c r="AJ15" s="7"/>
      <c r="AK15" s="13"/>
      <c r="AM15" s="39"/>
      <c r="AN15" s="42"/>
      <c r="AO15" s="7"/>
      <c r="AP15" s="13"/>
      <c r="AR15" s="39"/>
      <c r="AS15" s="42"/>
      <c r="AT15" s="7"/>
      <c r="AU15" s="13"/>
      <c r="AW15" s="39"/>
      <c r="AX15" s="42"/>
      <c r="AY15" s="7"/>
    </row>
    <row r="16" spans="1:51" s="14" customFormat="1" ht="30" customHeight="1">
      <c r="A16" s="11"/>
      <c r="B16" s="11"/>
      <c r="C16" s="73" t="s">
        <v>41</v>
      </c>
      <c r="D16" s="89">
        <v>1</v>
      </c>
      <c r="E16" s="83">
        <v>3</v>
      </c>
      <c r="F16" s="74" t="s">
        <v>44</v>
      </c>
      <c r="G16" s="105"/>
      <c r="H16" s="701">
        <f>(L16*$D$5+O16*$D$6+R16*$D$7+U16*$D$8)/$D$9</f>
        <v>90</v>
      </c>
      <c r="I16" s="14">
        <v>0</v>
      </c>
      <c r="J16" s="135"/>
      <c r="K16" s="140">
        <v>120</v>
      </c>
      <c r="L16" s="118">
        <f>'A 1.3'!D21/120*K16</f>
        <v>120</v>
      </c>
      <c r="M16" s="133"/>
      <c r="N16" s="140">
        <v>195</v>
      </c>
      <c r="O16" s="118">
        <f>'A 1.3'!D21/120*N16</f>
        <v>195</v>
      </c>
      <c r="P16" s="133"/>
      <c r="Q16" s="140">
        <v>270</v>
      </c>
      <c r="R16" s="118">
        <f>'A 1.3'!D20/120*Q16</f>
        <v>22.5</v>
      </c>
      <c r="S16" s="133"/>
      <c r="T16" s="140">
        <v>270</v>
      </c>
      <c r="U16" s="118">
        <f>'A 1.3'!D20/120*T16</f>
        <v>22.5</v>
      </c>
      <c r="V16" s="11"/>
      <c r="W16" s="11"/>
      <c r="X16" s="39"/>
      <c r="Y16" s="42"/>
      <c r="Z16" s="7"/>
      <c r="AA16" s="21"/>
      <c r="AC16" s="39"/>
      <c r="AD16" s="42"/>
      <c r="AE16" s="7"/>
      <c r="AF16" s="13"/>
      <c r="AH16" s="39"/>
      <c r="AI16" s="42"/>
      <c r="AJ16" s="7"/>
      <c r="AK16" s="13"/>
      <c r="AM16" s="39"/>
      <c r="AN16" s="42"/>
      <c r="AO16" s="7"/>
      <c r="AP16" s="13"/>
      <c r="AR16" s="39"/>
      <c r="AS16" s="42"/>
      <c r="AT16" s="7"/>
      <c r="AU16" s="13"/>
      <c r="AW16" s="39"/>
      <c r="AX16" s="42"/>
      <c r="AY16" s="7"/>
    </row>
    <row r="17" spans="1:51" s="14" customFormat="1" ht="30" customHeight="1">
      <c r="A17" s="11"/>
      <c r="B17" s="11"/>
      <c r="C17" s="73" t="s">
        <v>41</v>
      </c>
      <c r="D17" s="89" t="s">
        <v>45</v>
      </c>
      <c r="E17" s="83">
        <v>4</v>
      </c>
      <c r="F17" s="74" t="s">
        <v>46</v>
      </c>
      <c r="G17" s="105"/>
      <c r="H17" s="118">
        <f>'A 1.4'!E38</f>
        <v>0</v>
      </c>
      <c r="I17" s="14">
        <v>10</v>
      </c>
      <c r="J17" s="135"/>
      <c r="K17" s="160">
        <v>60</v>
      </c>
      <c r="L17" s="118">
        <f>'A 1.4'!$E$38/60*K17</f>
        <v>0</v>
      </c>
      <c r="M17" s="133"/>
      <c r="N17" s="160">
        <v>75</v>
      </c>
      <c r="O17" s="118">
        <f>'A 1.4'!$E$38/60*N17</f>
        <v>0</v>
      </c>
      <c r="P17" s="133"/>
      <c r="Q17" s="160">
        <v>90</v>
      </c>
      <c r="R17" s="118">
        <f>'A 1.4'!$E$38/60*Q17</f>
        <v>0</v>
      </c>
      <c r="S17" s="133"/>
      <c r="T17" s="160">
        <v>120</v>
      </c>
      <c r="U17" s="118">
        <f>'A 1.4'!$E$38/60*T17</f>
        <v>0</v>
      </c>
      <c r="V17" s="11"/>
      <c r="W17" s="11"/>
      <c r="X17" s="39"/>
      <c r="Y17" s="42"/>
      <c r="Z17" s="7"/>
      <c r="AA17" s="21"/>
      <c r="AC17" s="39"/>
      <c r="AD17" s="42"/>
      <c r="AE17" s="7"/>
      <c r="AF17" s="13"/>
      <c r="AH17" s="39"/>
      <c r="AI17" s="42"/>
      <c r="AJ17" s="7"/>
      <c r="AK17" s="13"/>
      <c r="AM17" s="39"/>
      <c r="AN17" s="42"/>
      <c r="AO17" s="7"/>
      <c r="AP17" s="13"/>
      <c r="AR17" s="39"/>
      <c r="AS17" s="42"/>
      <c r="AT17" s="7"/>
      <c r="AU17" s="13"/>
      <c r="AW17" s="39"/>
      <c r="AX17" s="42"/>
      <c r="AY17" s="7"/>
    </row>
    <row r="18" spans="1:51" s="14" customFormat="1" ht="30" hidden="1" customHeight="1">
      <c r="A18" s="11"/>
      <c r="B18" s="11"/>
      <c r="C18" s="73" t="s">
        <v>41</v>
      </c>
      <c r="D18" s="89">
        <v>1</v>
      </c>
      <c r="E18" s="83">
        <v>4</v>
      </c>
      <c r="F18" s="424" t="s">
        <v>47</v>
      </c>
      <c r="G18" s="105"/>
      <c r="H18" s="118">
        <v>0</v>
      </c>
      <c r="J18" s="135"/>
      <c r="K18" s="160">
        <v>0</v>
      </c>
      <c r="L18" s="118">
        <v>0</v>
      </c>
      <c r="M18" s="133"/>
      <c r="N18" s="433">
        <v>0</v>
      </c>
      <c r="O18" s="118">
        <v>0</v>
      </c>
      <c r="P18" s="133"/>
      <c r="Q18" s="433">
        <v>0</v>
      </c>
      <c r="R18" s="118">
        <v>0</v>
      </c>
      <c r="S18" s="133"/>
      <c r="T18" s="433">
        <v>0</v>
      </c>
      <c r="U18" s="118">
        <v>0</v>
      </c>
      <c r="V18" s="11"/>
      <c r="W18" s="11"/>
      <c r="X18" s="39"/>
      <c r="Y18" s="42"/>
      <c r="Z18" s="7"/>
      <c r="AA18" s="21"/>
      <c r="AC18" s="39"/>
      <c r="AD18" s="42"/>
      <c r="AE18" s="7"/>
      <c r="AF18" s="13"/>
      <c r="AH18" s="39"/>
      <c r="AI18" s="42"/>
      <c r="AJ18" s="7"/>
      <c r="AK18" s="13"/>
      <c r="AM18" s="39"/>
      <c r="AN18" s="42"/>
      <c r="AO18" s="7"/>
      <c r="AP18" s="13"/>
      <c r="AR18" s="39"/>
      <c r="AS18" s="42"/>
      <c r="AT18" s="7"/>
      <c r="AU18" s="13"/>
      <c r="AW18" s="39"/>
      <c r="AX18" s="42"/>
      <c r="AY18" s="7"/>
    </row>
    <row r="19" spans="1:51" s="14" customFormat="1" ht="30" customHeight="1">
      <c r="A19" s="11"/>
      <c r="B19" s="11"/>
      <c r="C19" s="73" t="s">
        <v>41</v>
      </c>
      <c r="D19" s="89">
        <v>1</v>
      </c>
      <c r="E19" s="83">
        <v>5</v>
      </c>
      <c r="F19" s="431" t="s">
        <v>48</v>
      </c>
      <c r="G19" s="423"/>
      <c r="H19" s="118">
        <f>'A 1.5'!D7</f>
        <v>0</v>
      </c>
      <c r="J19" s="135"/>
      <c r="K19" s="434">
        <v>30</v>
      </c>
      <c r="L19" s="118">
        <f>H19</f>
        <v>0</v>
      </c>
      <c r="M19" s="133"/>
      <c r="N19" s="434" t="s">
        <v>49</v>
      </c>
      <c r="O19" s="118">
        <f>H19</f>
        <v>0</v>
      </c>
      <c r="P19" s="133"/>
      <c r="Q19" s="779"/>
      <c r="R19" s="780"/>
      <c r="S19" s="133"/>
      <c r="T19" s="779"/>
      <c r="U19" s="780"/>
      <c r="V19" s="11"/>
      <c r="W19" s="11"/>
      <c r="X19" s="39"/>
      <c r="Y19" s="42"/>
      <c r="Z19" s="7"/>
      <c r="AA19" s="21"/>
      <c r="AC19" s="39"/>
      <c r="AD19" s="42"/>
      <c r="AE19" s="7"/>
      <c r="AF19" s="13"/>
      <c r="AH19" s="39"/>
      <c r="AI19" s="42"/>
      <c r="AJ19" s="7"/>
      <c r="AK19" s="13"/>
      <c r="AM19" s="39"/>
      <c r="AN19" s="42"/>
      <c r="AO19" s="7"/>
      <c r="AP19" s="13"/>
      <c r="AR19" s="39"/>
      <c r="AS19" s="42"/>
      <c r="AT19" s="7"/>
      <c r="AU19" s="13"/>
      <c r="AW19" s="39"/>
      <c r="AX19" s="42"/>
      <c r="AY19" s="7"/>
    </row>
    <row r="20" spans="1:51" s="14" customFormat="1" ht="30" customHeight="1">
      <c r="A20" s="11"/>
      <c r="B20" s="11"/>
      <c r="C20" s="440" t="s">
        <v>41</v>
      </c>
      <c r="D20" s="441" t="s">
        <v>45</v>
      </c>
      <c r="E20" s="83">
        <v>6</v>
      </c>
      <c r="F20" s="424" t="s">
        <v>50</v>
      </c>
      <c r="G20" s="423"/>
      <c r="H20" s="328">
        <f>'A 1.6'!E15</f>
        <v>0</v>
      </c>
      <c r="J20" s="135"/>
      <c r="K20" s="434">
        <v>15</v>
      </c>
      <c r="L20" s="118">
        <f t="shared" ref="L20:L21" si="0">H20</f>
        <v>0</v>
      </c>
      <c r="M20" s="133"/>
      <c r="N20" s="434">
        <v>15</v>
      </c>
      <c r="O20" s="118">
        <f t="shared" ref="O20:O21" si="1">H20</f>
        <v>0</v>
      </c>
      <c r="P20" s="133"/>
      <c r="Q20" s="781"/>
      <c r="R20" s="782"/>
      <c r="S20" s="133"/>
      <c r="T20" s="781"/>
      <c r="U20" s="782"/>
      <c r="V20" s="11"/>
      <c r="W20" s="11"/>
      <c r="X20" s="39"/>
      <c r="Y20" s="42"/>
      <c r="Z20" s="7"/>
      <c r="AA20" s="21"/>
      <c r="AC20" s="39"/>
      <c r="AD20" s="42"/>
      <c r="AE20" s="7"/>
      <c r="AF20" s="13"/>
      <c r="AH20" s="39"/>
      <c r="AI20" s="42"/>
      <c r="AJ20" s="7"/>
      <c r="AK20" s="13"/>
      <c r="AM20" s="39"/>
      <c r="AN20" s="42"/>
      <c r="AO20" s="7"/>
      <c r="AP20" s="13"/>
      <c r="AR20" s="39"/>
      <c r="AS20" s="42"/>
      <c r="AT20" s="7"/>
      <c r="AU20" s="13"/>
      <c r="AW20" s="39"/>
      <c r="AX20" s="42"/>
      <c r="AY20" s="7"/>
    </row>
    <row r="21" spans="1:51" s="14" customFormat="1" ht="30" customHeight="1" thickBot="1">
      <c r="A21" s="11"/>
      <c r="B21" s="11"/>
      <c r="C21" s="146" t="s">
        <v>41</v>
      </c>
      <c r="D21" s="703" t="s">
        <v>45</v>
      </c>
      <c r="E21" s="442">
        <v>7</v>
      </c>
      <c r="F21" s="704" t="s">
        <v>51</v>
      </c>
      <c r="G21" s="117"/>
      <c r="H21" s="131">
        <f>'A 1.7'!D6</f>
        <v>0</v>
      </c>
      <c r="I21" s="615"/>
      <c r="J21" s="616"/>
      <c r="K21" s="160">
        <v>10</v>
      </c>
      <c r="L21" s="118">
        <f t="shared" si="0"/>
        <v>0</v>
      </c>
      <c r="M21" s="617"/>
      <c r="N21" s="160">
        <v>10</v>
      </c>
      <c r="O21" s="118">
        <f t="shared" si="1"/>
        <v>0</v>
      </c>
      <c r="P21" s="617"/>
      <c r="Q21" s="783"/>
      <c r="R21" s="784"/>
      <c r="S21" s="617"/>
      <c r="T21" s="783"/>
      <c r="U21" s="784"/>
      <c r="V21" s="11"/>
      <c r="W21" s="11"/>
      <c r="X21" s="39"/>
      <c r="Y21" s="42"/>
      <c r="Z21" s="7"/>
      <c r="AA21" s="21"/>
      <c r="AC21" s="39"/>
      <c r="AD21" s="42"/>
      <c r="AE21" s="7"/>
      <c r="AF21" s="13"/>
      <c r="AH21" s="39"/>
      <c r="AI21" s="42"/>
      <c r="AJ21" s="7"/>
      <c r="AK21" s="13"/>
      <c r="AM21" s="39"/>
      <c r="AN21" s="42"/>
      <c r="AO21" s="7"/>
      <c r="AP21" s="13"/>
      <c r="AR21" s="39"/>
      <c r="AS21" s="42"/>
      <c r="AT21" s="7"/>
      <c r="AU21" s="13"/>
      <c r="AW21" s="39"/>
      <c r="AX21" s="42"/>
      <c r="AY21" s="7"/>
    </row>
    <row r="22" spans="1:51" ht="21.75" customHeight="1" thickBot="1">
      <c r="A22" s="20"/>
      <c r="B22" s="20"/>
      <c r="C22" s="66"/>
      <c r="D22" s="67"/>
      <c r="E22" s="595"/>
      <c r="F22" s="75"/>
      <c r="G22" s="76"/>
      <c r="H22" s="614"/>
      <c r="J22" s="68"/>
      <c r="K22" s="651"/>
      <c r="L22" s="76"/>
      <c r="M22" s="68"/>
      <c r="N22" s="76"/>
      <c r="O22" s="76"/>
      <c r="P22" s="68"/>
      <c r="Q22" s="76"/>
      <c r="R22" s="614"/>
      <c r="S22" s="68"/>
      <c r="T22" s="76"/>
      <c r="U22" s="614"/>
      <c r="V22" s="68"/>
      <c r="W22" s="68"/>
      <c r="Y22" s="45"/>
      <c r="Z22" s="4"/>
      <c r="AA22" s="25"/>
      <c r="AD22" s="45"/>
      <c r="AE22" s="4"/>
      <c r="AI22" s="45"/>
      <c r="AJ22" s="4"/>
      <c r="AK22" s="25"/>
      <c r="AN22" s="45"/>
      <c r="AO22" s="4"/>
      <c r="AS22" s="45"/>
      <c r="AT22" s="4"/>
      <c r="AU22" s="25"/>
      <c r="AX22" s="45"/>
      <c r="AY22" s="4"/>
    </row>
    <row r="23" spans="1:51" s="15" customFormat="1" ht="30" customHeight="1">
      <c r="A23" s="77"/>
      <c r="B23" s="77"/>
      <c r="C23" s="78" t="s">
        <v>52</v>
      </c>
      <c r="D23" s="329">
        <v>1</v>
      </c>
      <c r="E23" s="330" t="s">
        <v>53</v>
      </c>
      <c r="F23" s="126" t="s">
        <v>54</v>
      </c>
      <c r="G23" s="331">
        <f>(K23*$D$5+N23*$D$6+Q23*$D$7+T23*$D$8)/($D$9)</f>
        <v>246.25</v>
      </c>
      <c r="H23" s="332">
        <f>(L23*$D$5+O23*$D$6+R23*$D$7+U23*$D$8)/($D$9)</f>
        <v>0</v>
      </c>
      <c r="I23" s="79">
        <v>0</v>
      </c>
      <c r="J23" s="143"/>
      <c r="K23" s="333">
        <v>340</v>
      </c>
      <c r="L23" s="332">
        <f>'Komm. Beurteilung'!F38+L29+L30</f>
        <v>0</v>
      </c>
      <c r="M23" s="139"/>
      <c r="N23" s="334">
        <v>320</v>
      </c>
      <c r="O23" s="332">
        <f>'Komm. Beurteilung'!F77+O29+O30</f>
        <v>0</v>
      </c>
      <c r="P23" s="79"/>
      <c r="Q23" s="333">
        <v>185</v>
      </c>
      <c r="R23" s="335">
        <f>'Komm. Beurteilung'!F116+R29+R30</f>
        <v>0</v>
      </c>
      <c r="S23" s="139"/>
      <c r="T23" s="331">
        <v>140</v>
      </c>
      <c r="U23" s="332">
        <f>'Komm. Beurteilung'!F155+U29+U30</f>
        <v>0</v>
      </c>
      <c r="V23" s="79"/>
      <c r="W23" s="79"/>
      <c r="X23" s="47"/>
      <c r="Y23" s="48"/>
      <c r="Z23" s="2"/>
      <c r="AA23" s="23"/>
      <c r="AB23" s="46"/>
      <c r="AC23" s="47"/>
      <c r="AD23" s="48"/>
      <c r="AE23" s="2"/>
      <c r="AG23" s="46"/>
      <c r="AH23" s="47"/>
      <c r="AI23" s="48"/>
      <c r="AJ23" s="2"/>
      <c r="AK23" s="23"/>
      <c r="AM23" s="47"/>
      <c r="AN23" s="48"/>
      <c r="AO23" s="2"/>
      <c r="AR23" s="47"/>
      <c r="AS23" s="48"/>
      <c r="AT23" s="2"/>
      <c r="AU23" s="23"/>
      <c r="AW23" s="47"/>
      <c r="AX23" s="48"/>
      <c r="AY23" s="2"/>
    </row>
    <row r="24" spans="1:51" ht="30" customHeight="1">
      <c r="A24" s="20"/>
      <c r="B24" s="20"/>
      <c r="C24" s="73" t="str">
        <f>C$23</f>
        <v>B</v>
      </c>
      <c r="D24" s="89" t="s">
        <v>45</v>
      </c>
      <c r="E24" s="74" t="s">
        <v>55</v>
      </c>
      <c r="F24" s="82" t="s">
        <v>56</v>
      </c>
      <c r="G24" s="105"/>
      <c r="H24" s="751"/>
      <c r="I24" s="68">
        <v>15</v>
      </c>
      <c r="J24" s="141"/>
      <c r="K24" s="785" t="s">
        <v>57</v>
      </c>
      <c r="L24" s="775"/>
      <c r="M24" s="137"/>
      <c r="N24" s="774" t="s">
        <v>57</v>
      </c>
      <c r="O24" s="775"/>
      <c r="P24" s="68"/>
      <c r="Q24" s="774" t="s">
        <v>57</v>
      </c>
      <c r="R24" s="775"/>
      <c r="S24" s="137"/>
      <c r="T24" s="774" t="s">
        <v>57</v>
      </c>
      <c r="U24" s="775"/>
      <c r="V24" s="68"/>
      <c r="W24" s="68"/>
      <c r="X24" s="51"/>
      <c r="Y24" s="44"/>
      <c r="Z24" s="4"/>
      <c r="AA24" s="25"/>
      <c r="AC24" s="51"/>
      <c r="AD24" s="44"/>
      <c r="AE24" s="4"/>
      <c r="AH24" s="51"/>
      <c r="AI24" s="44"/>
      <c r="AJ24" s="4"/>
      <c r="AK24" s="25"/>
      <c r="AM24" s="51"/>
      <c r="AN24" s="44"/>
      <c r="AO24" s="4"/>
      <c r="AR24" s="51"/>
      <c r="AS24" s="44"/>
      <c r="AT24" s="4"/>
      <c r="AU24" s="25"/>
      <c r="AW24" s="51"/>
      <c r="AX24" s="44"/>
      <c r="AY24" s="4"/>
    </row>
    <row r="25" spans="1:51" ht="30" customHeight="1">
      <c r="A25" s="20"/>
      <c r="B25" s="20"/>
      <c r="C25" s="73" t="s">
        <v>52</v>
      </c>
      <c r="D25" s="89" t="s">
        <v>45</v>
      </c>
      <c r="E25" s="74" t="s">
        <v>58</v>
      </c>
      <c r="F25" s="82" t="s">
        <v>59</v>
      </c>
      <c r="G25" s="105"/>
      <c r="H25" s="752"/>
      <c r="I25" s="68">
        <v>25</v>
      </c>
      <c r="J25" s="141"/>
      <c r="K25" s="786"/>
      <c r="L25" s="777"/>
      <c r="M25" s="137"/>
      <c r="N25" s="776"/>
      <c r="O25" s="777"/>
      <c r="P25" s="68"/>
      <c r="Q25" s="776"/>
      <c r="R25" s="777"/>
      <c r="S25" s="137"/>
      <c r="T25" s="776"/>
      <c r="U25" s="777"/>
      <c r="V25" s="68"/>
      <c r="W25" s="68"/>
      <c r="X25" s="51"/>
      <c r="Y25" s="44"/>
      <c r="Z25" s="4"/>
      <c r="AA25" s="25"/>
      <c r="AC25" s="51"/>
      <c r="AD25" s="44"/>
      <c r="AE25" s="4"/>
      <c r="AH25" s="51"/>
      <c r="AI25" s="44"/>
      <c r="AJ25" s="4"/>
      <c r="AK25" s="25"/>
      <c r="AM25" s="51"/>
      <c r="AN25" s="44"/>
      <c r="AO25" s="4"/>
      <c r="AR25" s="51"/>
      <c r="AS25" s="44"/>
      <c r="AT25" s="4"/>
      <c r="AU25" s="25"/>
      <c r="AW25" s="51"/>
      <c r="AX25" s="44"/>
      <c r="AY25" s="4"/>
    </row>
    <row r="26" spans="1:51" ht="30" customHeight="1">
      <c r="A26" s="20"/>
      <c r="B26" s="20"/>
      <c r="C26" s="73" t="s">
        <v>52</v>
      </c>
      <c r="D26" s="89" t="s">
        <v>45</v>
      </c>
      <c r="E26" s="74" t="s">
        <v>60</v>
      </c>
      <c r="F26" s="82" t="s">
        <v>61</v>
      </c>
      <c r="G26" s="105"/>
      <c r="H26" s="752"/>
      <c r="I26" s="68">
        <v>50</v>
      </c>
      <c r="J26" s="141"/>
      <c r="K26" s="786"/>
      <c r="L26" s="777"/>
      <c r="M26" s="137"/>
      <c r="N26" s="776"/>
      <c r="O26" s="777"/>
      <c r="P26" s="68"/>
      <c r="Q26" s="776"/>
      <c r="R26" s="777"/>
      <c r="S26" s="137"/>
      <c r="T26" s="776"/>
      <c r="U26" s="777"/>
      <c r="V26" s="68"/>
      <c r="W26" s="68"/>
      <c r="X26" s="51"/>
      <c r="Y26" s="44"/>
      <c r="Z26" s="4"/>
      <c r="AA26" s="25"/>
      <c r="AC26" s="51"/>
      <c r="AD26" s="44"/>
      <c r="AE26" s="4"/>
      <c r="AH26" s="51"/>
      <c r="AI26" s="44"/>
      <c r="AJ26" s="4"/>
      <c r="AK26" s="25"/>
      <c r="AM26" s="51"/>
      <c r="AN26" s="44"/>
      <c r="AO26" s="4"/>
      <c r="AR26" s="51"/>
      <c r="AS26" s="44"/>
      <c r="AT26" s="4"/>
      <c r="AU26" s="25"/>
      <c r="AW26" s="51"/>
      <c r="AX26" s="44"/>
      <c r="AY26" s="4"/>
    </row>
    <row r="27" spans="1:51" s="18" customFormat="1" ht="30" customHeight="1">
      <c r="A27" s="85"/>
      <c r="B27" s="85"/>
      <c r="C27" s="86" t="str">
        <f>C$23</f>
        <v>B</v>
      </c>
      <c r="D27" s="87" t="s">
        <v>45</v>
      </c>
      <c r="E27" s="74" t="s">
        <v>62</v>
      </c>
      <c r="F27" s="82" t="s">
        <v>63</v>
      </c>
      <c r="G27" s="105"/>
      <c r="H27" s="753"/>
      <c r="I27" s="88"/>
      <c r="J27" s="136"/>
      <c r="K27" s="14"/>
      <c r="L27" s="14"/>
      <c r="M27" s="134"/>
      <c r="N27" s="778"/>
      <c r="O27" s="777"/>
      <c r="P27" s="88"/>
      <c r="Q27" s="778"/>
      <c r="R27" s="777"/>
      <c r="S27" s="134"/>
      <c r="T27" s="778"/>
      <c r="U27" s="777"/>
      <c r="V27" s="88"/>
      <c r="W27" s="88"/>
      <c r="X27" s="53"/>
      <c r="Y27" s="44"/>
      <c r="Z27" s="5"/>
      <c r="AA27" s="26"/>
      <c r="AB27" s="52"/>
      <c r="AC27" s="53"/>
      <c r="AD27" s="44"/>
      <c r="AE27" s="5"/>
      <c r="AG27" s="52"/>
      <c r="AH27" s="53"/>
      <c r="AI27" s="44"/>
      <c r="AJ27" s="5"/>
      <c r="AK27" s="26"/>
      <c r="AM27" s="53"/>
      <c r="AN27" s="44"/>
      <c r="AO27" s="5"/>
      <c r="AR27" s="53"/>
      <c r="AS27" s="44"/>
      <c r="AT27" s="5"/>
      <c r="AU27" s="26"/>
      <c r="AW27" s="53"/>
      <c r="AX27" s="44"/>
      <c r="AY27" s="5"/>
    </row>
    <row r="28" spans="1:51" s="14" customFormat="1" ht="30" customHeight="1">
      <c r="A28" s="11"/>
      <c r="B28" s="11"/>
      <c r="C28" s="73" t="str">
        <f>C$23</f>
        <v>B</v>
      </c>
      <c r="D28" s="89" t="s">
        <v>45</v>
      </c>
      <c r="E28" s="74" t="s">
        <v>64</v>
      </c>
      <c r="F28" s="82" t="s">
        <v>65</v>
      </c>
      <c r="G28" s="105"/>
      <c r="H28" s="753"/>
      <c r="I28" s="75"/>
      <c r="J28" s="135"/>
      <c r="K28" s="772" t="str">
        <f>"Punkte Kommision = "&amp;'Komm. Beurteilung'!F38</f>
        <v>Punkte Kommision = 0</v>
      </c>
      <c r="L28" s="773"/>
      <c r="M28" s="133"/>
      <c r="N28" s="772" t="str">
        <f>"Punkte Kommision = "&amp;'Komm. Beurteilung'!F77</f>
        <v>Punkte Kommision = 0</v>
      </c>
      <c r="O28" s="773"/>
      <c r="P28" s="75"/>
      <c r="Q28" s="772" t="str">
        <f>"Punkte Kommision = "&amp;'Komm. Beurteilung'!F116</f>
        <v>Punkte Kommision = 0</v>
      </c>
      <c r="R28" s="773"/>
      <c r="S28" s="133"/>
      <c r="T28" s="772" t="str">
        <f>"Punkte Kommision = "&amp;'Komm. Beurteilung'!F155</f>
        <v>Punkte Kommision = 0</v>
      </c>
      <c r="U28" s="773"/>
      <c r="V28" s="75"/>
      <c r="W28" s="75"/>
      <c r="X28" s="43"/>
      <c r="Y28" s="44"/>
      <c r="Z28" s="1"/>
      <c r="AA28" s="22"/>
      <c r="AB28" s="13"/>
      <c r="AC28" s="43"/>
      <c r="AD28" s="44"/>
      <c r="AE28" s="1"/>
      <c r="AG28" s="13"/>
      <c r="AH28" s="43"/>
      <c r="AI28" s="44"/>
      <c r="AJ28" s="1"/>
      <c r="AK28" s="22"/>
      <c r="AM28" s="43"/>
      <c r="AN28" s="44"/>
      <c r="AO28" s="1"/>
      <c r="AR28" s="43"/>
      <c r="AS28" s="44"/>
      <c r="AT28" s="1"/>
      <c r="AU28" s="22"/>
      <c r="AW28" s="43"/>
      <c r="AX28" s="44"/>
      <c r="AY28" s="1"/>
    </row>
    <row r="29" spans="1:51" ht="30" customHeight="1">
      <c r="A29" s="20"/>
      <c r="B29" s="20"/>
      <c r="C29" s="73" t="str">
        <f>C$23</f>
        <v>B</v>
      </c>
      <c r="D29" s="89" t="s">
        <v>45</v>
      </c>
      <c r="E29" s="74" t="s">
        <v>66</v>
      </c>
      <c r="F29" s="82" t="s">
        <v>67</v>
      </c>
      <c r="G29" s="105"/>
      <c r="H29" s="118"/>
      <c r="I29" s="159">
        <v>0</v>
      </c>
      <c r="J29" s="141"/>
      <c r="K29" s="160">
        <v>10</v>
      </c>
      <c r="L29" s="8">
        <f>IF(ISNUMBER('B 1.4 '!$B$13),'B 1.4 '!$B$13,0)</f>
        <v>0</v>
      </c>
      <c r="M29" s="137"/>
      <c r="N29" s="162">
        <v>10</v>
      </c>
      <c r="O29" s="8">
        <f>IF(ISNUMBER('B 1.4 '!$B$13),'B 1.4 '!$B$13,0)</f>
        <v>0</v>
      </c>
      <c r="P29" s="68"/>
      <c r="Q29" s="160">
        <v>10</v>
      </c>
      <c r="R29" s="118">
        <f>IF(ISNUMBER('B 1.4 '!$B$13),'B 1.4 '!$B$13,0)</f>
        <v>0</v>
      </c>
      <c r="S29" s="137"/>
      <c r="T29" s="140">
        <v>10</v>
      </c>
      <c r="U29" s="118">
        <f>IF(ISNUMBER('B 1.4 '!$B$13),'B 1.4 '!$B$13,0)</f>
        <v>0</v>
      </c>
      <c r="V29" s="68"/>
      <c r="W29" s="68"/>
      <c r="X29" s="51"/>
      <c r="Y29" s="44"/>
      <c r="Z29" s="4"/>
      <c r="AA29" s="25"/>
      <c r="AC29" s="51"/>
      <c r="AD29" s="44"/>
      <c r="AE29" s="4"/>
      <c r="AH29" s="51"/>
      <c r="AI29" s="44"/>
      <c r="AJ29" s="4"/>
      <c r="AK29" s="25"/>
      <c r="AM29" s="51"/>
      <c r="AN29" s="44"/>
      <c r="AO29" s="4"/>
      <c r="AR29" s="51"/>
      <c r="AS29" s="44"/>
      <c r="AT29" s="4"/>
      <c r="AU29" s="25"/>
      <c r="AW29" s="51"/>
      <c r="AX29" s="44"/>
      <c r="AY29" s="4"/>
    </row>
    <row r="30" spans="1:51" ht="30" customHeight="1" thickBot="1">
      <c r="A30" s="20"/>
      <c r="B30" s="20"/>
      <c r="C30" s="146" t="str">
        <f>C$23</f>
        <v>B</v>
      </c>
      <c r="D30" s="130" t="s">
        <v>45</v>
      </c>
      <c r="E30" s="102" t="s">
        <v>68</v>
      </c>
      <c r="F30" s="236" t="s">
        <v>69</v>
      </c>
      <c r="G30" s="117"/>
      <c r="H30" s="652"/>
      <c r="I30" s="158">
        <v>10</v>
      </c>
      <c r="J30" s="135"/>
      <c r="K30" s="150" t="s">
        <v>416</v>
      </c>
      <c r="L30" s="131">
        <v>0</v>
      </c>
      <c r="M30" s="133"/>
      <c r="N30" s="150">
        <v>0</v>
      </c>
      <c r="O30" s="131">
        <v>0</v>
      </c>
      <c r="P30" s="75"/>
      <c r="Q30" s="150">
        <v>0</v>
      </c>
      <c r="R30" s="131">
        <v>0</v>
      </c>
      <c r="S30" s="133"/>
      <c r="T30" s="150">
        <v>0</v>
      </c>
      <c r="U30" s="131">
        <v>0</v>
      </c>
      <c r="V30" s="75"/>
      <c r="W30" s="75"/>
      <c r="X30" s="43"/>
      <c r="Y30" s="9"/>
      <c r="Z30" s="4"/>
      <c r="AA30" s="25"/>
      <c r="AB30" s="13"/>
      <c r="AC30" s="43"/>
      <c r="AD30" s="10"/>
      <c r="AE30" s="4"/>
      <c r="AG30" s="13"/>
      <c r="AH30" s="43"/>
      <c r="AI30" s="9"/>
      <c r="AJ30" s="4"/>
      <c r="AK30" s="25"/>
      <c r="AM30" s="43"/>
      <c r="AN30" s="9"/>
      <c r="AO30" s="4"/>
      <c r="AR30" s="43"/>
      <c r="AS30" s="9"/>
      <c r="AT30" s="4"/>
      <c r="AU30" s="25"/>
      <c r="AW30" s="43"/>
      <c r="AX30" s="9"/>
      <c r="AY30" s="4"/>
    </row>
    <row r="31" spans="1:51" ht="6" customHeight="1" thickBot="1">
      <c r="A31" s="20"/>
      <c r="B31" s="20"/>
      <c r="C31" s="66"/>
      <c r="D31" s="67"/>
      <c r="E31" s="595"/>
      <c r="F31" s="237"/>
      <c r="G31" s="90"/>
      <c r="H31" s="76"/>
      <c r="I31" s="68"/>
      <c r="J31" s="68"/>
      <c r="K31" s="90"/>
      <c r="L31" s="76"/>
      <c r="M31" s="68"/>
      <c r="N31" s="90"/>
      <c r="O31" s="76"/>
      <c r="P31" s="68"/>
      <c r="Q31" s="161"/>
      <c r="R31" s="76"/>
      <c r="S31" s="68"/>
      <c r="T31" s="90"/>
      <c r="U31" s="76"/>
      <c r="V31" s="68"/>
      <c r="W31" s="68"/>
      <c r="Y31" s="45"/>
      <c r="Z31" s="4"/>
      <c r="AA31" s="25"/>
      <c r="AD31" s="45"/>
      <c r="AE31" s="4"/>
      <c r="AI31" s="45"/>
      <c r="AJ31" s="4"/>
      <c r="AK31" s="25"/>
      <c r="AN31" s="45"/>
      <c r="AO31" s="4"/>
      <c r="AS31" s="45"/>
      <c r="AT31" s="4"/>
      <c r="AU31" s="25"/>
      <c r="AX31" s="45"/>
      <c r="AY31" s="4"/>
    </row>
    <row r="32" spans="1:51" s="15" customFormat="1" ht="30" customHeight="1" thickBot="1">
      <c r="A32" s="77"/>
      <c r="B32" s="77"/>
      <c r="C32" s="91" t="s">
        <v>70</v>
      </c>
      <c r="D32" s="92"/>
      <c r="E32" s="128"/>
      <c r="F32" s="127" t="s">
        <v>71</v>
      </c>
      <c r="G32" s="336">
        <f>(K32*$D$5+N32*$D$6+Q32*$D$7+T32*$D$8)/($D$9)</f>
        <v>43.75</v>
      </c>
      <c r="H32" s="337">
        <f>IF(SUM(H33,H36)&lt;G32,H33+H36,G32)</f>
        <v>0</v>
      </c>
      <c r="I32" s="79"/>
      <c r="J32" s="143"/>
      <c r="K32" s="340">
        <v>125</v>
      </c>
      <c r="L32" s="337">
        <f>IF((L33+L36)&lt;125,(L33+L36),125)</f>
        <v>0</v>
      </c>
      <c r="M32" s="139"/>
      <c r="N32" s="340">
        <v>50</v>
      </c>
      <c r="O32" s="342">
        <f>IF((O33+O36)&lt;50,(O33+O36),50)</f>
        <v>0</v>
      </c>
      <c r="P32" s="139"/>
      <c r="Q32" s="340">
        <v>0</v>
      </c>
      <c r="R32" s="342">
        <f>IF((R33+R36)&lt;125,(R33+R36),125)</f>
        <v>0</v>
      </c>
      <c r="S32" s="139"/>
      <c r="T32" s="696">
        <v>0</v>
      </c>
      <c r="U32" s="697">
        <f>IF((U33+U36)&lt;125,(U33+U36),125)</f>
        <v>0</v>
      </c>
      <c r="V32" s="79"/>
      <c r="W32" s="79"/>
      <c r="X32" s="47"/>
      <c r="Y32" s="54"/>
      <c r="Z32" s="2"/>
      <c r="AA32" s="23"/>
      <c r="AB32" s="46"/>
      <c r="AC32" s="47"/>
      <c r="AD32" s="54"/>
      <c r="AE32" s="2"/>
      <c r="AG32" s="46"/>
      <c r="AH32" s="47"/>
      <c r="AI32" s="54"/>
      <c r="AJ32" s="2"/>
      <c r="AK32" s="23"/>
      <c r="AM32" s="47"/>
      <c r="AN32" s="54"/>
      <c r="AO32" s="2"/>
      <c r="AR32" s="47"/>
      <c r="AS32" s="54"/>
      <c r="AT32" s="2"/>
      <c r="AU32" s="23"/>
      <c r="AW32" s="47"/>
      <c r="AX32" s="54"/>
      <c r="AY32" s="2"/>
    </row>
    <row r="33" spans="1:51" s="16" customFormat="1" ht="30" customHeight="1">
      <c r="A33" s="80"/>
      <c r="B33" s="80"/>
      <c r="C33" s="93" t="str">
        <f>C32</f>
        <v>C</v>
      </c>
      <c r="D33" s="94">
        <v>1</v>
      </c>
      <c r="E33" s="591"/>
      <c r="F33" s="95" t="s">
        <v>72</v>
      </c>
      <c r="G33" s="338">
        <f>(K33*$D$5+N33*$D$6+0*$D$7+0*$D$8)/($D$9)</f>
        <v>31.25</v>
      </c>
      <c r="H33" s="339">
        <f>IF(SUM(H34:H35)&lt;G33,SUM(H34:H35),G33)</f>
        <v>0</v>
      </c>
      <c r="I33" s="81"/>
      <c r="J33" s="142"/>
      <c r="K33" s="341">
        <v>75</v>
      </c>
      <c r="L33" s="339">
        <f>IF(SUM(L34:L35)&lt;75,SUM(L34:L35),75)</f>
        <v>0</v>
      </c>
      <c r="M33" s="138"/>
      <c r="N33" s="343">
        <v>50</v>
      </c>
      <c r="O33" s="339">
        <f>IF(SUM(O34:O34)&lt;50,SUM(O34:O34),50)</f>
        <v>0</v>
      </c>
      <c r="P33" s="138"/>
      <c r="Q33" s="811"/>
      <c r="R33" s="812"/>
      <c r="S33" s="694"/>
      <c r="T33" s="815"/>
      <c r="U33" s="816"/>
      <c r="V33" s="81"/>
      <c r="W33" s="81"/>
      <c r="X33" s="50"/>
      <c r="Y33" s="55"/>
      <c r="Z33" s="3"/>
      <c r="AA33" s="24"/>
      <c r="AB33" s="49"/>
      <c r="AC33" s="50"/>
      <c r="AD33" s="55"/>
      <c r="AE33" s="3"/>
      <c r="AG33" s="49"/>
      <c r="AH33" s="50"/>
      <c r="AI33" s="55"/>
      <c r="AJ33" s="3"/>
      <c r="AK33" s="24"/>
      <c r="AM33" s="50"/>
      <c r="AN33" s="55"/>
      <c r="AO33" s="3"/>
      <c r="AR33" s="50"/>
      <c r="AS33" s="55"/>
      <c r="AT33" s="3"/>
      <c r="AU33" s="24"/>
      <c r="AW33" s="50"/>
      <c r="AX33" s="55"/>
      <c r="AY33" s="3"/>
    </row>
    <row r="34" spans="1:51" ht="30" customHeight="1">
      <c r="A34" s="20"/>
      <c r="B34" s="20"/>
      <c r="C34" s="73" t="s">
        <v>70</v>
      </c>
      <c r="D34" s="89">
        <f>D$33</f>
        <v>1</v>
      </c>
      <c r="E34" s="83">
        <f>E32+1</f>
        <v>1</v>
      </c>
      <c r="F34" s="84" t="s">
        <v>73</v>
      </c>
      <c r="G34" s="83"/>
      <c r="H34" s="8">
        <f>(L34*$D$5+O34*$D$6+0*$D$7+0*$D$8)/$D$9</f>
        <v>0</v>
      </c>
      <c r="I34" s="68"/>
      <c r="J34" s="141"/>
      <c r="K34" s="160">
        <v>75</v>
      </c>
      <c r="L34" s="8">
        <f>'C 1.1'!C12</f>
        <v>0</v>
      </c>
      <c r="M34" s="137"/>
      <c r="N34" s="140">
        <v>50</v>
      </c>
      <c r="O34" s="8">
        <f>'C 1.1'!C21</f>
        <v>0</v>
      </c>
      <c r="P34" s="137"/>
      <c r="Q34" s="813"/>
      <c r="R34" s="814"/>
      <c r="S34" s="159"/>
      <c r="T34" s="817"/>
      <c r="U34" s="818"/>
      <c r="V34" s="68"/>
      <c r="W34" s="68"/>
      <c r="X34" s="51"/>
      <c r="Y34" s="44"/>
      <c r="Z34" s="4"/>
      <c r="AA34" s="25"/>
      <c r="AC34" s="51"/>
      <c r="AD34" s="44"/>
      <c r="AE34" s="4"/>
      <c r="AH34" s="51"/>
      <c r="AI34" s="44"/>
      <c r="AJ34" s="4"/>
      <c r="AK34" s="25"/>
      <c r="AM34" s="51"/>
      <c r="AN34" s="44"/>
      <c r="AO34" s="4"/>
      <c r="AR34" s="51"/>
      <c r="AS34" s="44"/>
      <c r="AT34" s="4"/>
      <c r="AU34" s="25"/>
      <c r="AW34" s="51"/>
      <c r="AX34" s="44"/>
      <c r="AY34" s="4"/>
    </row>
    <row r="35" spans="1:51" ht="30" customHeight="1">
      <c r="A35" s="20"/>
      <c r="B35" s="20"/>
      <c r="C35" s="73" t="s">
        <v>70</v>
      </c>
      <c r="D35" s="89">
        <v>1</v>
      </c>
      <c r="E35" s="83">
        <v>2</v>
      </c>
      <c r="F35" s="84" t="s">
        <v>74</v>
      </c>
      <c r="G35" s="83"/>
      <c r="H35" s="8">
        <f>(L35*$D$5+0*$D$6+0*$D$7+0*$D$8)/$D$9</f>
        <v>0</v>
      </c>
      <c r="I35" s="68"/>
      <c r="J35" s="141"/>
      <c r="K35" s="160">
        <v>10</v>
      </c>
      <c r="L35" s="8">
        <f>'C 1.2'!C6</f>
        <v>0</v>
      </c>
      <c r="M35" s="137"/>
      <c r="N35" s="805"/>
      <c r="O35" s="806"/>
      <c r="P35" s="137"/>
      <c r="Q35" s="813"/>
      <c r="R35" s="814"/>
      <c r="S35" s="159"/>
      <c r="T35" s="817"/>
      <c r="U35" s="818"/>
      <c r="V35" s="68"/>
      <c r="W35" s="68"/>
      <c r="X35" s="51"/>
      <c r="Y35" s="44"/>
      <c r="Z35" s="4"/>
      <c r="AA35" s="25"/>
      <c r="AC35" s="51"/>
      <c r="AD35" s="44"/>
      <c r="AE35" s="4"/>
      <c r="AH35" s="51"/>
      <c r="AI35" s="44"/>
      <c r="AJ35" s="4"/>
      <c r="AK35" s="25"/>
      <c r="AM35" s="51"/>
      <c r="AN35" s="44"/>
      <c r="AO35" s="4"/>
      <c r="AR35" s="51"/>
      <c r="AS35" s="44"/>
      <c r="AT35" s="4"/>
      <c r="AU35" s="25"/>
      <c r="AW35" s="51"/>
      <c r="AX35" s="44"/>
      <c r="AY35" s="4"/>
    </row>
    <row r="36" spans="1:51" s="16" customFormat="1" ht="30" customHeight="1">
      <c r="A36" s="80"/>
      <c r="B36" s="80"/>
      <c r="C36" s="93" t="s">
        <v>70</v>
      </c>
      <c r="D36" s="94">
        <v>2</v>
      </c>
      <c r="E36" s="591"/>
      <c r="F36" s="95" t="s">
        <v>75</v>
      </c>
      <c r="G36" s="338">
        <f>(K36*$D$5+0*$D$6+0*$D$7+0*$D$8)/($D$9)</f>
        <v>17.5</v>
      </c>
      <c r="H36" s="339">
        <f>IF(SUM(H37:H37)&lt;G36,SUM(H37:H37),G36)</f>
        <v>0</v>
      </c>
      <c r="I36" s="81"/>
      <c r="J36" s="142"/>
      <c r="K36" s="341">
        <v>70</v>
      </c>
      <c r="L36" s="339">
        <f>IF(SUM(L37:L37)&lt;70,SUM(L37:L37),70)</f>
        <v>0</v>
      </c>
      <c r="M36" s="138"/>
      <c r="N36" s="807"/>
      <c r="O36" s="808"/>
      <c r="P36" s="138"/>
      <c r="Q36" s="813"/>
      <c r="R36" s="814"/>
      <c r="S36" s="694"/>
      <c r="T36" s="817"/>
      <c r="U36" s="818"/>
      <c r="V36" s="81"/>
      <c r="W36" s="81"/>
      <c r="X36" s="50"/>
      <c r="Y36" s="55"/>
      <c r="Z36" s="3"/>
      <c r="AA36" s="24"/>
      <c r="AB36" s="49"/>
      <c r="AC36" s="50"/>
      <c r="AD36" s="55"/>
      <c r="AE36" s="3"/>
      <c r="AG36" s="49"/>
      <c r="AH36" s="50"/>
      <c r="AI36" s="55"/>
      <c r="AJ36" s="3"/>
      <c r="AK36" s="24"/>
      <c r="AM36" s="50"/>
      <c r="AN36" s="55"/>
      <c r="AO36" s="3"/>
      <c r="AR36" s="50"/>
      <c r="AS36" s="55"/>
      <c r="AT36" s="3"/>
      <c r="AU36" s="24"/>
      <c r="AW36" s="50"/>
      <c r="AX36" s="55"/>
      <c r="AY36" s="3"/>
    </row>
    <row r="37" spans="1:51" ht="30" customHeight="1" thickBot="1">
      <c r="A37" s="20"/>
      <c r="B37" s="20"/>
      <c r="C37" s="73" t="s">
        <v>70</v>
      </c>
      <c r="D37" s="89">
        <v>2</v>
      </c>
      <c r="E37" s="83">
        <v>1</v>
      </c>
      <c r="F37" s="84" t="s">
        <v>76</v>
      </c>
      <c r="G37" s="83"/>
      <c r="H37" s="8">
        <f>(L37*$D$5+0*$D$6+0*$D$7+0*$D$8)/$D$9</f>
        <v>0</v>
      </c>
      <c r="I37" s="68"/>
      <c r="J37" s="141"/>
      <c r="K37" s="160">
        <v>70</v>
      </c>
      <c r="L37" s="8">
        <f>'C 2.1'!D13</f>
        <v>0</v>
      </c>
      <c r="M37" s="137"/>
      <c r="N37" s="809"/>
      <c r="O37" s="810"/>
      <c r="P37" s="138"/>
      <c r="Q37" s="813"/>
      <c r="R37" s="814"/>
      <c r="S37" s="694"/>
      <c r="T37" s="819"/>
      <c r="U37" s="820"/>
      <c r="V37" s="68"/>
      <c r="W37" s="68"/>
      <c r="X37" s="51"/>
      <c r="Y37" s="596"/>
      <c r="Z37" s="4"/>
      <c r="AA37" s="25"/>
      <c r="AC37" s="51"/>
      <c r="AD37" s="596"/>
      <c r="AE37" s="4"/>
      <c r="AH37" s="51"/>
      <c r="AI37" s="596"/>
      <c r="AJ37" s="4"/>
      <c r="AK37" s="25"/>
      <c r="AM37" s="51"/>
      <c r="AN37" s="596"/>
      <c r="AO37" s="4"/>
      <c r="AR37" s="51"/>
      <c r="AS37" s="596"/>
      <c r="AT37" s="4"/>
      <c r="AU37" s="25"/>
      <c r="AW37" s="51"/>
      <c r="AX37" s="596"/>
      <c r="AY37" s="4"/>
    </row>
    <row r="38" spans="1:51" s="15" customFormat="1" ht="21" thickBot="1">
      <c r="A38" s="77"/>
      <c r="B38" s="77"/>
      <c r="C38" s="66"/>
      <c r="D38" s="67"/>
      <c r="E38" s="595"/>
      <c r="F38" s="96" t="s">
        <v>77</v>
      </c>
      <c r="G38" s="76"/>
      <c r="H38" s="76"/>
      <c r="I38" s="68"/>
      <c r="J38" s="68"/>
      <c r="K38" s="681"/>
      <c r="L38" s="76"/>
      <c r="M38" s="68"/>
      <c r="N38" s="235"/>
      <c r="O38" s="235"/>
      <c r="P38" s="68"/>
      <c r="Q38" s="235"/>
      <c r="R38" s="235"/>
      <c r="S38" s="68"/>
      <c r="T38" s="76"/>
      <c r="U38" s="76"/>
      <c r="V38" s="79"/>
      <c r="W38" s="79"/>
      <c r="X38" s="47"/>
      <c r="Y38" s="56"/>
      <c r="Z38" s="2"/>
      <c r="AA38" s="23"/>
      <c r="AB38" s="46"/>
      <c r="AC38" s="47"/>
      <c r="AD38" s="56"/>
      <c r="AE38" s="2"/>
      <c r="AG38" s="46"/>
      <c r="AH38" s="47"/>
      <c r="AI38" s="56"/>
      <c r="AJ38" s="2"/>
      <c r="AK38" s="23"/>
      <c r="AM38" s="47"/>
      <c r="AN38" s="56"/>
      <c r="AO38" s="2"/>
      <c r="AR38" s="47"/>
      <c r="AS38" s="56"/>
      <c r="AT38" s="2"/>
      <c r="AU38" s="23"/>
      <c r="AV38" s="695"/>
      <c r="AW38" s="47"/>
      <c r="AX38" s="56"/>
      <c r="AY38" s="2"/>
    </row>
    <row r="39" spans="1:51" s="16" customFormat="1" ht="30" customHeight="1">
      <c r="A39" s="80"/>
      <c r="B39" s="80"/>
      <c r="C39" s="97" t="s">
        <v>78</v>
      </c>
      <c r="D39" s="98"/>
      <c r="E39" s="344"/>
      <c r="F39" s="129" t="s">
        <v>79</v>
      </c>
      <c r="G39" s="345">
        <f>(K39*$D$5+N39*$D$6+Q39*$D$7+T39*$D$8)/($D$9)</f>
        <v>338.75</v>
      </c>
      <c r="H39" s="346">
        <f>IF((H40+H44)&lt;G39,H40+H44,G39)</f>
        <v>0</v>
      </c>
      <c r="I39" s="79"/>
      <c r="J39" s="143"/>
      <c r="K39" s="680">
        <v>245</v>
      </c>
      <c r="L39" s="348">
        <f>IF((L40+L44)&lt;245,(L40+L44),245)</f>
        <v>0</v>
      </c>
      <c r="M39" s="139"/>
      <c r="N39" s="349">
        <v>280</v>
      </c>
      <c r="O39" s="348">
        <f>IF((O40+O44)&lt;280,(O40+O44),280)</f>
        <v>0</v>
      </c>
      <c r="P39" s="139"/>
      <c r="Q39" s="349">
        <v>400</v>
      </c>
      <c r="R39" s="348">
        <f>IF((R40+R44)&lt;400,(R40+R44),400)</f>
        <v>0</v>
      </c>
      <c r="S39" s="139"/>
      <c r="T39" s="347">
        <v>430</v>
      </c>
      <c r="U39" s="350">
        <f>IF((U40+U44)&lt;430,(U40+U44),430)</f>
        <v>0</v>
      </c>
      <c r="V39" s="100"/>
      <c r="W39" s="100"/>
      <c r="X39" s="58"/>
      <c r="Y39" s="59"/>
      <c r="Z39" s="3"/>
      <c r="AA39" s="24"/>
      <c r="AB39" s="57"/>
      <c r="AC39" s="58"/>
      <c r="AD39" s="59"/>
      <c r="AE39" s="3"/>
      <c r="AG39" s="57"/>
      <c r="AH39" s="58"/>
      <c r="AI39" s="59"/>
      <c r="AJ39" s="3"/>
      <c r="AK39" s="24"/>
      <c r="AM39" s="58"/>
      <c r="AN39" s="59"/>
      <c r="AO39" s="3"/>
      <c r="AR39" s="58"/>
      <c r="AS39" s="59"/>
      <c r="AT39" s="3"/>
      <c r="AU39" s="24"/>
      <c r="AW39" s="58"/>
      <c r="AX39" s="59"/>
      <c r="AY39" s="3"/>
    </row>
    <row r="40" spans="1:51" s="19" customFormat="1" ht="30" customHeight="1">
      <c r="A40" s="80"/>
      <c r="B40" s="80"/>
      <c r="C40" s="587" t="s">
        <v>78</v>
      </c>
      <c r="D40" s="588">
        <v>1</v>
      </c>
      <c r="E40" s="586"/>
      <c r="F40" s="99" t="s">
        <v>80</v>
      </c>
      <c r="G40" s="351">
        <f>(K40*$D$5+N40*$D$6+Q40*$D$7+T40*$D$8)/($D$9)</f>
        <v>97.5</v>
      </c>
      <c r="H40" s="151">
        <f>IF(SUM(H41:H42)&lt;G40,SUM(H41:H42),G40)</f>
        <v>0</v>
      </c>
      <c r="I40" s="352"/>
      <c r="J40" s="353"/>
      <c r="K40" s="354">
        <v>65</v>
      </c>
      <c r="L40" s="151">
        <f>IF(SUM(L41:L42)&lt;K40,SUM(L41:L42),K40)</f>
        <v>0</v>
      </c>
      <c r="M40" s="435"/>
      <c r="N40" s="355">
        <v>85</v>
      </c>
      <c r="O40" s="151">
        <f>IF(SUM(O41:O42)&lt;N40,SUM(O41:O42),N40)</f>
        <v>0</v>
      </c>
      <c r="P40" s="435"/>
      <c r="Q40" s="355">
        <v>120</v>
      </c>
      <c r="R40" s="151">
        <f>IF(SUM(R41:R42)&lt;Q40,SUM(R41:R42),Q40)</f>
        <v>0</v>
      </c>
      <c r="S40" s="435"/>
      <c r="T40" s="355">
        <v>120</v>
      </c>
      <c r="U40" s="151">
        <f>IF(SUM(U41:U42)&lt;T40,SUM(U41:U42),T40)</f>
        <v>0</v>
      </c>
      <c r="V40" s="81"/>
      <c r="W40" s="81"/>
      <c r="X40" s="50"/>
      <c r="Y40" s="60"/>
      <c r="Z40" s="3"/>
      <c r="AA40" s="24"/>
      <c r="AB40" s="49"/>
      <c r="AC40" s="50"/>
      <c r="AD40" s="60"/>
      <c r="AE40" s="3"/>
      <c r="AF40" s="16"/>
      <c r="AG40" s="49"/>
      <c r="AH40" s="50"/>
      <c r="AI40" s="60"/>
      <c r="AJ40" s="3"/>
      <c r="AK40" s="24"/>
      <c r="AL40" s="16"/>
      <c r="AM40" s="50"/>
      <c r="AN40" s="60"/>
      <c r="AO40" s="3"/>
      <c r="AP40" s="16"/>
      <c r="AQ40" s="16"/>
      <c r="AR40" s="50"/>
      <c r="AS40" s="60"/>
      <c r="AT40" s="3"/>
      <c r="AU40" s="24"/>
      <c r="AV40" s="16"/>
      <c r="AW40" s="50"/>
      <c r="AX40" s="60"/>
      <c r="AY40" s="3"/>
    </row>
    <row r="41" spans="1:51" s="16" customFormat="1" ht="30" customHeight="1">
      <c r="A41" s="80"/>
      <c r="B41" s="80"/>
      <c r="C41" s="73" t="s">
        <v>78</v>
      </c>
      <c r="D41" s="89">
        <v>1</v>
      </c>
      <c r="E41" s="83">
        <v>1</v>
      </c>
      <c r="F41" s="82" t="s">
        <v>355</v>
      </c>
      <c r="G41" s="101"/>
      <c r="H41" s="118">
        <f>(L41*$D$5+O41*$D$6+R41*$D$7+U41*$D$8)/$D$9</f>
        <v>0</v>
      </c>
      <c r="I41" s="81"/>
      <c r="J41" s="142"/>
      <c r="K41" s="160">
        <v>45</v>
      </c>
      <c r="L41" s="118">
        <f>'D 1.1'!D22</f>
        <v>0</v>
      </c>
      <c r="M41" s="138"/>
      <c r="N41" s="140">
        <v>65</v>
      </c>
      <c r="O41" s="118">
        <f>L41/30*65</f>
        <v>0</v>
      </c>
      <c r="P41" s="138"/>
      <c r="Q41" s="140">
        <v>90</v>
      </c>
      <c r="R41" s="118">
        <f>L41/30*90</f>
        <v>0</v>
      </c>
      <c r="S41" s="138"/>
      <c r="T41" s="140">
        <v>90</v>
      </c>
      <c r="U41" s="118">
        <f>L41/30*90</f>
        <v>0</v>
      </c>
      <c r="V41" s="81"/>
      <c r="W41" s="81"/>
      <c r="X41" s="50"/>
      <c r="Y41" s="61"/>
      <c r="Z41" s="3"/>
      <c r="AA41" s="24"/>
      <c r="AB41" s="49"/>
      <c r="AC41" s="50"/>
      <c r="AD41" s="61"/>
      <c r="AE41" s="3"/>
      <c r="AG41" s="49"/>
      <c r="AH41" s="50"/>
      <c r="AI41" s="61"/>
      <c r="AJ41" s="3"/>
      <c r="AK41" s="24"/>
      <c r="AM41" s="50"/>
      <c r="AN41" s="61"/>
      <c r="AO41" s="3"/>
      <c r="AR41" s="50"/>
      <c r="AS41" s="61"/>
      <c r="AT41" s="3"/>
      <c r="AU41" s="24"/>
      <c r="AW41" s="50"/>
      <c r="AX41" s="61"/>
      <c r="AY41" s="3"/>
    </row>
    <row r="42" spans="1:51" s="16" customFormat="1" ht="30" customHeight="1">
      <c r="A42" s="80"/>
      <c r="B42" s="80"/>
      <c r="C42" s="73" t="s">
        <v>78</v>
      </c>
      <c r="D42" s="89" t="s">
        <v>45</v>
      </c>
      <c r="E42" s="83">
        <v>2</v>
      </c>
      <c r="F42" s="84" t="s">
        <v>81</v>
      </c>
      <c r="G42" s="425"/>
      <c r="H42" s="118">
        <f>(L42*$D$5+O42*$D$6+R42*$D$7+U42*$D$8)/$D$9</f>
        <v>0</v>
      </c>
      <c r="I42" s="81"/>
      <c r="J42" s="142"/>
      <c r="K42" s="160">
        <v>15</v>
      </c>
      <c r="L42" s="118">
        <f>'D 1.2'!C6</f>
        <v>0</v>
      </c>
      <c r="M42" s="133"/>
      <c r="N42" s="433">
        <v>20</v>
      </c>
      <c r="O42" s="118">
        <f>$L$42/15*20</f>
        <v>0</v>
      </c>
      <c r="P42" s="133"/>
      <c r="Q42" s="433">
        <v>30</v>
      </c>
      <c r="R42" s="118">
        <f>$L$42/15*30</f>
        <v>0</v>
      </c>
      <c r="S42" s="133"/>
      <c r="T42" s="433">
        <v>30</v>
      </c>
      <c r="U42" s="118">
        <f>$L$42/15*30</f>
        <v>0</v>
      </c>
      <c r="V42" s="81"/>
      <c r="W42" s="81"/>
      <c r="X42" s="50"/>
      <c r="Y42" s="61"/>
      <c r="Z42" s="3"/>
      <c r="AA42" s="24"/>
      <c r="AB42" s="49"/>
      <c r="AC42" s="50"/>
      <c r="AD42" s="426"/>
      <c r="AE42" s="3"/>
      <c r="AG42" s="49"/>
      <c r="AH42" s="50"/>
      <c r="AI42" s="426"/>
      <c r="AJ42" s="3"/>
      <c r="AK42" s="24"/>
      <c r="AM42" s="50"/>
      <c r="AN42" s="426"/>
      <c r="AO42" s="3"/>
      <c r="AR42" s="50"/>
      <c r="AS42" s="426"/>
      <c r="AT42" s="3"/>
      <c r="AU42" s="24"/>
      <c r="AW42" s="50"/>
      <c r="AX42" s="61"/>
      <c r="AY42" s="3"/>
    </row>
    <row r="43" spans="1:51" s="16" customFormat="1" ht="30" customHeight="1">
      <c r="A43" s="80"/>
      <c r="B43" s="80"/>
      <c r="C43" s="73" t="s">
        <v>78</v>
      </c>
      <c r="D43" s="89" t="s">
        <v>45</v>
      </c>
      <c r="E43" s="83">
        <v>3</v>
      </c>
      <c r="F43" s="84" t="s">
        <v>353</v>
      </c>
      <c r="G43" s="425"/>
      <c r="H43" s="118">
        <f>(L43*$D$5+O43*$D$6+R43*$D$7+U43*$D$8)/$D$9</f>
        <v>0</v>
      </c>
      <c r="I43" s="618"/>
      <c r="J43" s="142"/>
      <c r="K43" s="140">
        <v>15</v>
      </c>
      <c r="L43" s="118">
        <f>'D 1.3'!C6</f>
        <v>0</v>
      </c>
      <c r="M43" s="133"/>
      <c r="N43" s="433">
        <v>15</v>
      </c>
      <c r="O43" s="118">
        <f>$L$43/15*20</f>
        <v>0</v>
      </c>
      <c r="P43" s="133"/>
      <c r="Q43" s="433">
        <v>15</v>
      </c>
      <c r="R43" s="118">
        <f>$L$43/15*30</f>
        <v>0</v>
      </c>
      <c r="S43" s="133"/>
      <c r="T43" s="433">
        <v>15</v>
      </c>
      <c r="U43" s="118">
        <f>$L$43/15*30</f>
        <v>0</v>
      </c>
      <c r="V43" s="81"/>
      <c r="W43" s="81"/>
      <c r="X43" s="50"/>
      <c r="Y43" s="61"/>
      <c r="Z43" s="3"/>
      <c r="AA43" s="24"/>
      <c r="AB43" s="49"/>
      <c r="AC43" s="50"/>
      <c r="AD43" s="426"/>
      <c r="AE43" s="3"/>
      <c r="AG43" s="49"/>
      <c r="AH43" s="50"/>
      <c r="AI43" s="426"/>
      <c r="AJ43" s="3"/>
      <c r="AK43" s="24"/>
      <c r="AM43" s="50"/>
      <c r="AN43" s="426"/>
      <c r="AO43" s="3"/>
      <c r="AR43" s="50"/>
      <c r="AS43" s="426"/>
      <c r="AT43" s="3"/>
      <c r="AU43" s="24"/>
      <c r="AW43" s="50"/>
      <c r="AX43" s="61"/>
      <c r="AY43" s="3"/>
    </row>
    <row r="44" spans="1:51" ht="30" customHeight="1">
      <c r="A44" s="20"/>
      <c r="B44" s="20"/>
      <c r="C44" s="587" t="str">
        <f>C$39</f>
        <v>D</v>
      </c>
      <c r="D44" s="588">
        <v>2</v>
      </c>
      <c r="E44" s="586"/>
      <c r="F44" s="99" t="s">
        <v>82</v>
      </c>
      <c r="G44" s="351">
        <f>(K44*$D$5+N44*$D$6+Q44*$D$7+T44*$D$8)/($D$9)</f>
        <v>280</v>
      </c>
      <c r="H44" s="151">
        <f>IF(SUM(H45:H46)&lt;G44,SUM(H45:H46),G44)</f>
        <v>0</v>
      </c>
      <c r="I44" s="81"/>
      <c r="J44" s="142"/>
      <c r="K44" s="355">
        <v>205</v>
      </c>
      <c r="L44" s="151">
        <f>IF(SUM(L45:L46)&lt;205,SUM(L45:L46),205)</f>
        <v>0</v>
      </c>
      <c r="M44" s="138"/>
      <c r="N44" s="355">
        <v>235</v>
      </c>
      <c r="O44" s="151">
        <f>IF(SUM(O45:O46)&lt;235,SUM(O45:O46),235)</f>
        <v>0</v>
      </c>
      <c r="P44" s="138"/>
      <c r="Q44" s="355">
        <v>330</v>
      </c>
      <c r="R44" s="151">
        <f>IF(SUM(R45:R46)&lt;330,SUM(R45:R46),330)</f>
        <v>0</v>
      </c>
      <c r="S44" s="138"/>
      <c r="T44" s="355">
        <v>350</v>
      </c>
      <c r="U44" s="151">
        <f>IF(SUM(U45:U46)&lt;350,SUM(U45:U46),350)</f>
        <v>0</v>
      </c>
      <c r="V44" s="68"/>
      <c r="W44" s="68"/>
      <c r="X44" s="51"/>
      <c r="Y44" s="155"/>
      <c r="Z44" s="4"/>
      <c r="AA44" s="25"/>
      <c r="AC44" s="51"/>
      <c r="AD44" s="147"/>
      <c r="AE44" s="4"/>
      <c r="AH44" s="51"/>
      <c r="AI44" s="147"/>
      <c r="AJ44" s="4"/>
      <c r="AK44" s="25"/>
      <c r="AM44" s="51"/>
      <c r="AN44" s="147"/>
      <c r="AO44" s="4"/>
      <c r="AR44" s="51"/>
      <c r="AS44" s="147"/>
      <c r="AT44" s="4"/>
      <c r="AU44" s="25"/>
      <c r="AW44" s="51"/>
      <c r="AX44" s="155"/>
      <c r="AY44" s="4"/>
    </row>
    <row r="45" spans="1:51" ht="30" customHeight="1" thickBot="1">
      <c r="A45" s="20"/>
      <c r="B45" s="20"/>
      <c r="C45" s="73" t="str">
        <f>C$39</f>
        <v>D</v>
      </c>
      <c r="D45" s="89">
        <v>2</v>
      </c>
      <c r="E45" s="116">
        <v>1</v>
      </c>
      <c r="F45" s="149" t="s">
        <v>417</v>
      </c>
      <c r="G45" s="116"/>
      <c r="H45" s="132">
        <f>(L45*$D$5+O45*$D$6+R45*$D$7+U45*$D$8)/$D$9</f>
        <v>0</v>
      </c>
      <c r="I45" s="75"/>
      <c r="J45" s="135"/>
      <c r="K45" s="160">
        <v>165</v>
      </c>
      <c r="L45" s="356">
        <f>IF(ISNUMBER('D 2.1'!B9),'D 2.1'!$B$9,0)</f>
        <v>0</v>
      </c>
      <c r="M45" s="133"/>
      <c r="N45" s="140">
        <v>175</v>
      </c>
      <c r="O45" s="356">
        <f>IF(ISNUMBER('D 2.1'!B17),'D 2.1'!$B$17,0)</f>
        <v>0</v>
      </c>
      <c r="P45" s="133"/>
      <c r="Q45" s="140">
        <v>220</v>
      </c>
      <c r="R45" s="118">
        <f>IF(ISNUMBER('D 2.1'!B25),'D 2.1'!$B$25,0)</f>
        <v>0</v>
      </c>
      <c r="S45" s="133"/>
      <c r="T45" s="140">
        <v>240</v>
      </c>
      <c r="U45" s="356">
        <f>IF(ISNUMBER('D 2.1'!B33),'D 2.1'!$B$33,0)</f>
        <v>0</v>
      </c>
      <c r="V45" s="68"/>
      <c r="W45" s="68"/>
      <c r="X45" s="51"/>
      <c r="Y45" s="596"/>
      <c r="Z45" s="4"/>
      <c r="AA45" s="25"/>
      <c r="AC45" s="51"/>
      <c r="AD45" s="156"/>
      <c r="AE45" s="4"/>
      <c r="AH45" s="51"/>
      <c r="AI45" s="156"/>
      <c r="AJ45" s="4"/>
      <c r="AK45" s="25"/>
      <c r="AM45" s="51"/>
      <c r="AN45" s="156"/>
      <c r="AO45" s="4"/>
      <c r="AR45" s="51"/>
      <c r="AS45" s="156"/>
      <c r="AT45" s="4"/>
      <c r="AU45" s="25"/>
      <c r="AW45" s="51"/>
      <c r="AX45" s="596"/>
      <c r="AY45" s="4"/>
    </row>
    <row r="46" spans="1:51" ht="30" customHeight="1" thickBot="1">
      <c r="A46" s="20"/>
      <c r="B46" s="20"/>
      <c r="C46" s="589" t="str">
        <f>C$39</f>
        <v>D</v>
      </c>
      <c r="D46" s="590">
        <v>2</v>
      </c>
      <c r="E46" s="442">
        <v>2</v>
      </c>
      <c r="F46" s="148" t="s">
        <v>83</v>
      </c>
      <c r="G46" s="116"/>
      <c r="H46" s="131">
        <f>(L46*$D$5+O46*$D$6+R46*$D$7+U46*$D$8)/$D$9</f>
        <v>0</v>
      </c>
      <c r="I46" s="75"/>
      <c r="J46" s="135"/>
      <c r="K46" s="152">
        <v>55</v>
      </c>
      <c r="L46" s="131">
        <f>IF(ISNUMBER('D 2.2'!B5),'D 2.2'!B6,0)</f>
        <v>0</v>
      </c>
      <c r="M46" s="133"/>
      <c r="N46" s="152">
        <v>90</v>
      </c>
      <c r="O46" s="131">
        <f>IF(ISNUMBER('D 2.2'!B11),'D 2.2'!B12,0)</f>
        <v>0</v>
      </c>
      <c r="P46" s="133"/>
      <c r="Q46" s="152">
        <v>130</v>
      </c>
      <c r="R46" s="131">
        <f>IF(ISNUMBER('D 2.2'!B17),'D 2.2'!B18,0)</f>
        <v>0</v>
      </c>
      <c r="S46" s="133"/>
      <c r="T46" s="152">
        <v>120</v>
      </c>
      <c r="U46" s="131">
        <f>IF(ISNUMBER('D 2.2'!B23),'D 2.2'!B24,0)</f>
        <v>0</v>
      </c>
      <c r="V46" s="68"/>
      <c r="W46" s="68"/>
      <c r="Y46" s="62"/>
      <c r="Z46" s="63"/>
      <c r="AD46" s="62"/>
      <c r="AE46" s="63"/>
      <c r="AI46" s="62"/>
      <c r="AJ46" s="63"/>
      <c r="AN46" s="62"/>
      <c r="AO46" s="63"/>
      <c r="AS46" s="62"/>
      <c r="AT46" s="63"/>
      <c r="AX46" s="62"/>
      <c r="AY46" s="63"/>
    </row>
    <row r="47" spans="1:51" ht="21" thickBot="1">
      <c r="C47" s="357"/>
      <c r="D47" s="358"/>
      <c r="E47" s="359"/>
      <c r="F47" s="163" t="s">
        <v>30</v>
      </c>
      <c r="G47" s="153">
        <v>1000</v>
      </c>
      <c r="H47" s="154">
        <f>IF(H13+H23+H32+H39&lt;1000,H13+H23+H32+H39,1000)</f>
        <v>90</v>
      </c>
      <c r="I47" s="75"/>
      <c r="J47" s="75"/>
      <c r="K47" s="75"/>
      <c r="L47" s="75"/>
      <c r="M47" s="75"/>
      <c r="N47" s="75"/>
      <c r="O47" s="75"/>
      <c r="P47" s="75"/>
      <c r="Q47" s="75"/>
      <c r="R47" s="75"/>
      <c r="S47" s="75"/>
      <c r="T47" s="75"/>
      <c r="U47" s="75"/>
    </row>
    <row r="48" spans="1:51" ht="15.75">
      <c r="C48" s="65"/>
      <c r="D48" s="360"/>
      <c r="E48" s="361"/>
      <c r="F48" s="64"/>
      <c r="G48" s="65"/>
      <c r="I48" s="13"/>
      <c r="J48" s="13"/>
      <c r="K48" s="13"/>
      <c r="L48" s="13"/>
      <c r="M48" s="13"/>
      <c r="N48" s="13"/>
      <c r="O48" s="13"/>
      <c r="P48" s="13"/>
      <c r="Q48" s="13"/>
      <c r="R48" s="13"/>
      <c r="S48" s="13"/>
      <c r="T48" s="13"/>
      <c r="U48" s="13"/>
    </row>
    <row r="49" spans="6:8" ht="15.75">
      <c r="F49" s="64"/>
    </row>
    <row r="50" spans="6:8" ht="15.75">
      <c r="F50" s="64"/>
    </row>
    <row r="51" spans="6:8" ht="15.75">
      <c r="F51" s="64"/>
    </row>
    <row r="52" spans="6:8" ht="15.75">
      <c r="F52" s="64"/>
      <c r="H52" s="65" t="s">
        <v>77</v>
      </c>
    </row>
    <row r="53" spans="6:8" ht="15.75">
      <c r="F53" s="64"/>
    </row>
  </sheetData>
  <sheetProtection selectLockedCells="1"/>
  <mergeCells count="32">
    <mergeCell ref="N35:O37"/>
    <mergeCell ref="Q33:R37"/>
    <mergeCell ref="T33:U37"/>
    <mergeCell ref="W2:W8"/>
    <mergeCell ref="AV2:AV8"/>
    <mergeCell ref="AQ2:AQ8"/>
    <mergeCell ref="AB2:AB8"/>
    <mergeCell ref="AG2:AG8"/>
    <mergeCell ref="AL2:AL8"/>
    <mergeCell ref="Q28:R28"/>
    <mergeCell ref="T24:U27"/>
    <mergeCell ref="T28:U28"/>
    <mergeCell ref="Q24:R27"/>
    <mergeCell ref="Q19:R21"/>
    <mergeCell ref="C1:H1"/>
    <mergeCell ref="C11:E12"/>
    <mergeCell ref="F11:F12"/>
    <mergeCell ref="G9:H9"/>
    <mergeCell ref="D2:H2"/>
    <mergeCell ref="G10:H10"/>
    <mergeCell ref="G8:H8"/>
    <mergeCell ref="H24:H28"/>
    <mergeCell ref="K9:U9"/>
    <mergeCell ref="K10:L11"/>
    <mergeCell ref="N10:O11"/>
    <mergeCell ref="Q10:R11"/>
    <mergeCell ref="T10:U11"/>
    <mergeCell ref="N28:O28"/>
    <mergeCell ref="N24:O27"/>
    <mergeCell ref="T19:U21"/>
    <mergeCell ref="K24:L26"/>
    <mergeCell ref="K28:L28"/>
  </mergeCells>
  <phoneticPr fontId="14" type="noConversion"/>
  <conditionalFormatting sqref="A15:G21">
    <cfRule type="expression" dxfId="48" priority="13" stopIfTrue="1">
      <formula>#REF!="n"</formula>
    </cfRule>
  </conditionalFormatting>
  <conditionalFormatting sqref="C14:E14 G14 M14 P14 S14">
    <cfRule type="expression" dxfId="47" priority="8" stopIfTrue="1">
      <formula>#REF!="n"</formula>
    </cfRule>
  </conditionalFormatting>
  <conditionalFormatting sqref="C35:E35 G35 I35:J35">
    <cfRule type="expression" dxfId="46" priority="29" stopIfTrue="1">
      <formula>#REF!="n"</formula>
    </cfRule>
  </conditionalFormatting>
  <conditionalFormatting sqref="C37:E37 G37 I37:J37">
    <cfRule type="expression" dxfId="45" priority="32" stopIfTrue="1">
      <formula>#REF!="n"</formula>
    </cfRule>
  </conditionalFormatting>
  <conditionalFormatting sqref="C41:E43">
    <cfRule type="expression" dxfId="44" priority="26" stopIfTrue="1">
      <formula>#REF!="n"</formula>
    </cfRule>
  </conditionalFormatting>
  <conditionalFormatting sqref="C28:F30">
    <cfRule type="expression" dxfId="43" priority="33" stopIfTrue="1">
      <formula>#REF!="n"</formula>
    </cfRule>
  </conditionalFormatting>
  <conditionalFormatting sqref="D31:Y31">
    <cfRule type="expression" dxfId="42" priority="126" stopIfTrue="1">
      <formula>#REF!="n"</formula>
    </cfRule>
  </conditionalFormatting>
  <conditionalFormatting sqref="G24:G30">
    <cfRule type="expression" dxfId="41" priority="129" stopIfTrue="1">
      <formula>#REF!="n"</formula>
    </cfRule>
  </conditionalFormatting>
  <conditionalFormatting sqref="G45:G46">
    <cfRule type="expression" dxfId="40" priority="147" stopIfTrue="1">
      <formula>#REF!="n"</formula>
    </cfRule>
  </conditionalFormatting>
  <conditionalFormatting sqref="H19:H21">
    <cfRule type="expression" dxfId="39" priority="19" stopIfTrue="1">
      <formula>#REF!="n"</formula>
    </cfRule>
  </conditionalFormatting>
  <conditionalFormatting sqref="H15:I15">
    <cfRule type="expression" dxfId="38" priority="62" stopIfTrue="1">
      <formula>#REF!="n"</formula>
    </cfRule>
  </conditionalFormatting>
  <conditionalFormatting sqref="I45:J46 C46:E46">
    <cfRule type="expression" dxfId="37" priority="85" stopIfTrue="1">
      <formula>#REF!="n"</formula>
    </cfRule>
  </conditionalFormatting>
  <conditionalFormatting sqref="K24:K26">
    <cfRule type="expression" dxfId="36" priority="1" stopIfTrue="1">
      <formula>#REF!="n"</formula>
    </cfRule>
  </conditionalFormatting>
  <conditionalFormatting sqref="K30">
    <cfRule type="expression" dxfId="35" priority="74" stopIfTrue="1">
      <formula>#REF!="n"</formula>
    </cfRule>
  </conditionalFormatting>
  <conditionalFormatting sqref="L14:L21">
    <cfRule type="expression" dxfId="34" priority="7" stopIfTrue="1">
      <formula>#REF!="n"</formula>
    </cfRule>
  </conditionalFormatting>
  <conditionalFormatting sqref="L34:M35">
    <cfRule type="expression" dxfId="33" priority="28" stopIfTrue="1">
      <formula>#REF!="n"</formula>
    </cfRule>
  </conditionalFormatting>
  <conditionalFormatting sqref="L37:M37">
    <cfRule type="expression" dxfId="32" priority="31" stopIfTrue="1">
      <formula>#REF!="n"</formula>
    </cfRule>
  </conditionalFormatting>
  <conditionalFormatting sqref="L42:M43">
    <cfRule type="expression" dxfId="31" priority="24" stopIfTrue="1">
      <formula>#REF!="n"</formula>
    </cfRule>
  </conditionalFormatting>
  <conditionalFormatting sqref="L45:M46">
    <cfRule type="expression" dxfId="30" priority="84" stopIfTrue="1">
      <formula>#REF!="n"</formula>
    </cfRule>
  </conditionalFormatting>
  <conditionalFormatting sqref="M24:M27 L28:M30">
    <cfRule type="expression" dxfId="29" priority="47" stopIfTrue="1">
      <formula>#REF!="n"</formula>
    </cfRule>
  </conditionalFormatting>
  <conditionalFormatting sqref="N24:N26">
    <cfRule type="expression" dxfId="28" priority="46" stopIfTrue="1">
      <formula>#REF!="n"</formula>
    </cfRule>
  </conditionalFormatting>
  <conditionalFormatting sqref="N30">
    <cfRule type="expression" dxfId="27" priority="43" stopIfTrue="1">
      <formula>#REF!="n"</formula>
    </cfRule>
  </conditionalFormatting>
  <conditionalFormatting sqref="O14:O21">
    <cfRule type="expression" dxfId="26" priority="4" stopIfTrue="1">
      <formula>#REF!="n"</formula>
    </cfRule>
  </conditionalFormatting>
  <conditionalFormatting sqref="O29:O30">
    <cfRule type="expression" dxfId="25" priority="50" stopIfTrue="1">
      <formula>#REF!="n"</formula>
    </cfRule>
  </conditionalFormatting>
  <conditionalFormatting sqref="O34">
    <cfRule type="expression" dxfId="24" priority="107" stopIfTrue="1">
      <formula>#REF!="n"</formula>
    </cfRule>
  </conditionalFormatting>
  <conditionalFormatting sqref="O45:P46">
    <cfRule type="expression" dxfId="23" priority="80" stopIfTrue="1">
      <formula>#REF!="n"</formula>
    </cfRule>
  </conditionalFormatting>
  <conditionalFormatting sqref="P42:P43 S42:S43">
    <cfRule type="expression" dxfId="22" priority="25" stopIfTrue="1">
      <formula>#REF!="n"</formula>
    </cfRule>
  </conditionalFormatting>
  <conditionalFormatting sqref="Q24:Q26">
    <cfRule type="expression" dxfId="21" priority="45" stopIfTrue="1">
      <formula>#REF!="n"</formula>
    </cfRule>
  </conditionalFormatting>
  <conditionalFormatting sqref="Q30">
    <cfRule type="expression" dxfId="20" priority="42" stopIfTrue="1">
      <formula>#REF!="n"</formula>
    </cfRule>
  </conditionalFormatting>
  <conditionalFormatting sqref="R14:R18">
    <cfRule type="expression" dxfId="19" priority="3" stopIfTrue="1">
      <formula>#REF!="n"</formula>
    </cfRule>
  </conditionalFormatting>
  <conditionalFormatting sqref="R29:R30">
    <cfRule type="expression" dxfId="18" priority="49" stopIfTrue="1">
      <formula>#REF!="n"</formula>
    </cfRule>
  </conditionalFormatting>
  <conditionalFormatting sqref="R45:S46">
    <cfRule type="expression" dxfId="17" priority="79" stopIfTrue="1">
      <formula>#REF!="n"</formula>
    </cfRule>
  </conditionalFormatting>
  <conditionalFormatting sqref="T24:T26">
    <cfRule type="expression" dxfId="16" priority="44" stopIfTrue="1">
      <formula>#REF!="n"</formula>
    </cfRule>
  </conditionalFormatting>
  <conditionalFormatting sqref="T30">
    <cfRule type="expression" dxfId="15" priority="41" stopIfTrue="1">
      <formula>#REF!="n"</formula>
    </cfRule>
  </conditionalFormatting>
  <conditionalFormatting sqref="U14:U18">
    <cfRule type="expression" dxfId="14" priority="2" stopIfTrue="1">
      <formula>#REF!="n"</formula>
    </cfRule>
  </conditionalFormatting>
  <conditionalFormatting sqref="U29:U30">
    <cfRule type="expression" dxfId="13" priority="48" stopIfTrue="1">
      <formula>#REF!="n"</formula>
    </cfRule>
  </conditionalFormatting>
  <conditionalFormatting sqref="U45:U46">
    <cfRule type="expression" dxfId="12" priority="78" stopIfTrue="1">
      <formula>#REF!="n"</formula>
    </cfRule>
  </conditionalFormatting>
  <conditionalFormatting sqref="Z15:AA21 AE15:AF21 AJ15:AK21 AO15:AQ21 AT15:AV21 AY15:JC21 J16:J21 M16:M21 P16:P21 S16:S21 A24:F27 I24:J30 P24:P30 S24:S30 V24:X30 A28:B31 A34:E34 G34 I34:J34 P34:P35 S34:S35 V34:X35 A35:B35 A44:B44 V44:X45 A45:E45">
    <cfRule type="expression" dxfId="11" priority="159" stopIfTrue="1">
      <formula>#REF!="n"</formula>
    </cfRule>
  </conditionalFormatting>
  <conditionalFormatting sqref="Z24:AC31 Z34:AC35 Z44:AC45">
    <cfRule type="expression" dxfId="10" priority="136" stopIfTrue="1">
      <formula>#REF!="n"</formula>
    </cfRule>
  </conditionalFormatting>
  <conditionalFormatting sqref="AD31">
    <cfRule type="expression" dxfId="9" priority="145" stopIfTrue="1">
      <formula>#REF!="n"</formula>
    </cfRule>
  </conditionalFormatting>
  <conditionalFormatting sqref="AE24:AH31 AE34:AH35 AE44:AH45">
    <cfRule type="expression" dxfId="8" priority="135" stopIfTrue="1">
      <formula>#REF!="n"</formula>
    </cfRule>
  </conditionalFormatting>
  <conditionalFormatting sqref="AI31">
    <cfRule type="expression" dxfId="7" priority="143" stopIfTrue="1">
      <formula>#REF!="n"</formula>
    </cfRule>
  </conditionalFormatting>
  <conditionalFormatting sqref="AJ24:AM31 AJ34:AM35 AJ44:AM45">
    <cfRule type="expression" dxfId="6" priority="134" stopIfTrue="1">
      <formula>#REF!="n"</formula>
    </cfRule>
  </conditionalFormatting>
  <conditionalFormatting sqref="AN31">
    <cfRule type="expression" dxfId="5" priority="141" stopIfTrue="1">
      <formula>#REF!="n"</formula>
    </cfRule>
  </conditionalFormatting>
  <conditionalFormatting sqref="AO24:AR31 AO34:AR35 AO44:AR45">
    <cfRule type="expression" dxfId="4" priority="133" stopIfTrue="1">
      <formula>#REF!="n"</formula>
    </cfRule>
  </conditionalFormatting>
  <conditionalFormatting sqref="AS31">
    <cfRule type="expression" dxfId="3" priority="139" stopIfTrue="1">
      <formula>#REF!="n"</formula>
    </cfRule>
  </conditionalFormatting>
  <conditionalFormatting sqref="AT24:AW31 AT34:AW35 AT44:AW45">
    <cfRule type="expression" dxfId="2" priority="132" stopIfTrue="1">
      <formula>#REF!="n"</formula>
    </cfRule>
  </conditionalFormatting>
  <conditionalFormatting sqref="AX31">
    <cfRule type="expression" dxfId="1" priority="137" stopIfTrue="1">
      <formula>#REF!="n"</formula>
    </cfRule>
  </conditionalFormatting>
  <conditionalFormatting sqref="AY24:JC31 AY34:JC35 AY44:JC45">
    <cfRule type="expression" dxfId="0" priority="138" stopIfTrue="1">
      <formula>#REF!="n"</formula>
    </cfRule>
  </conditionalFormatting>
  <dataValidations xWindow="834" yWindow="525" count="2">
    <dataValidation type="list" allowBlank="1" showInputMessage="1" showErrorMessage="1" prompt="Kein KGA Ziel erreicht (0 Punkte)_x000a_&gt;=850 KGA Ziel erreicht (50 Punkte)_x000a_&gt;=750 KGA Ziel erreicht (25 Punkte)_x000a_oder alt. Vergabeverf. (15 Punkte)" sqref="H14">
      <formula1>$I$23:$I$26</formula1>
    </dataValidation>
    <dataValidation type="list" allowBlank="1" showInputMessage="1" showErrorMessage="1" errorTitle="Falscher Wert!" error="Bitte geben Sie die Zahl 0 oder 10 ein." sqref="H15">
      <formula1>$I$13:$I$15</formula1>
    </dataValidation>
  </dataValidations>
  <printOptions horizontalCentered="1" verticalCentered="1"/>
  <pageMargins left="3.937007874015748E-2" right="3.937007874015748E-2" top="0.19685039370078741" bottom="3.937007874015748E-2" header="0.31496062992125984" footer="0.31496062992125984"/>
  <pageSetup paperSize="9" scale="4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topLeftCell="B1" zoomScaleNormal="100" workbookViewId="0">
      <selection activeCell="G15" sqref="G15"/>
    </sheetView>
  </sheetViews>
  <sheetFormatPr baseColWidth="10" defaultColWidth="11.42578125" defaultRowHeight="12.75"/>
  <cols>
    <col min="1" max="1" width="90.28515625" style="198" bestFit="1" customWidth="1"/>
    <col min="2" max="2" width="14.5703125" style="198" customWidth="1"/>
    <col min="3" max="3" width="15.7109375" style="171" customWidth="1"/>
    <col min="4" max="4" width="10.7109375" style="198" customWidth="1"/>
    <col min="5" max="5" width="17" style="198" hidden="1" customWidth="1"/>
    <col min="6" max="6" width="30.7109375" style="198" hidden="1" customWidth="1"/>
    <col min="7" max="7" width="15.140625" style="198" customWidth="1"/>
    <col min="8" max="16384" width="11.42578125" style="198"/>
  </cols>
  <sheetData>
    <row r="1" spans="1:7" ht="24.95" customHeight="1">
      <c r="A1" s="849" t="s">
        <v>343</v>
      </c>
      <c r="B1" s="849"/>
      <c r="C1" s="849"/>
      <c r="D1" s="849"/>
      <c r="E1" s="849"/>
      <c r="F1" s="849"/>
      <c r="G1" s="849"/>
    </row>
    <row r="2" spans="1:7" ht="7.5" customHeight="1" thickBot="1">
      <c r="A2" s="210"/>
      <c r="B2" s="210"/>
      <c r="C2" s="210"/>
      <c r="D2" s="221"/>
      <c r="G2" s="472"/>
    </row>
    <row r="3" spans="1:7" ht="42.75" customHeight="1">
      <c r="A3" s="204" t="s">
        <v>84</v>
      </c>
      <c r="B3" s="850" t="s">
        <v>385</v>
      </c>
      <c r="C3" s="851"/>
      <c r="D3" s="363" t="s">
        <v>85</v>
      </c>
      <c r="G3" s="706" t="s">
        <v>24</v>
      </c>
    </row>
    <row r="4" spans="1:7" s="171" customFormat="1" ht="24.95" customHeight="1">
      <c r="A4" s="731" t="s">
        <v>86</v>
      </c>
      <c r="B4" s="852">
        <v>10</v>
      </c>
      <c r="C4" s="834"/>
      <c r="D4" s="854">
        <v>10</v>
      </c>
      <c r="E4" s="171">
        <v>0</v>
      </c>
      <c r="F4" s="171">
        <v>10</v>
      </c>
      <c r="G4" s="856"/>
    </row>
    <row r="5" spans="1:7" s="171" customFormat="1" ht="24.95" customHeight="1">
      <c r="A5" s="708" t="s">
        <v>386</v>
      </c>
      <c r="B5" s="853"/>
      <c r="C5" s="838"/>
      <c r="D5" s="855"/>
      <c r="E5" s="477"/>
      <c r="F5" s="477"/>
      <c r="G5" s="857"/>
    </row>
    <row r="6" spans="1:7" s="171" customFormat="1" ht="24.95" customHeight="1">
      <c r="A6" s="730" t="s">
        <v>387</v>
      </c>
      <c r="B6" s="828" t="s">
        <v>388</v>
      </c>
      <c r="C6" s="829"/>
      <c r="D6" s="830">
        <v>30</v>
      </c>
      <c r="E6" s="477"/>
      <c r="F6" s="477"/>
      <c r="G6" s="864"/>
    </row>
    <row r="7" spans="1:7" s="171" customFormat="1" ht="49.5" customHeight="1">
      <c r="A7" s="263" t="s">
        <v>389</v>
      </c>
      <c r="B7" s="833" t="s">
        <v>49</v>
      </c>
      <c r="C7" s="834"/>
      <c r="D7" s="831"/>
      <c r="E7" s="477">
        <v>0</v>
      </c>
      <c r="F7" s="477"/>
      <c r="G7" s="865"/>
    </row>
    <row r="8" spans="1:7" s="171" customFormat="1" ht="24.95" customHeight="1">
      <c r="A8" s="858" t="s">
        <v>390</v>
      </c>
      <c r="B8" s="835"/>
      <c r="C8" s="836"/>
      <c r="D8" s="831"/>
      <c r="E8" s="477">
        <v>10</v>
      </c>
      <c r="F8" s="477">
        <v>0</v>
      </c>
      <c r="G8" s="865"/>
    </row>
    <row r="9" spans="1:7" s="171" customFormat="1" ht="24.95" customHeight="1">
      <c r="A9" s="859"/>
      <c r="B9" s="837"/>
      <c r="C9" s="838"/>
      <c r="D9" s="832"/>
      <c r="E9" s="477">
        <v>15</v>
      </c>
      <c r="F9" s="477">
        <v>10</v>
      </c>
      <c r="G9" s="866"/>
    </row>
    <row r="10" spans="1:7" s="171" customFormat="1" ht="24.95" customHeight="1">
      <c r="A10" s="731" t="s">
        <v>391</v>
      </c>
      <c r="B10" s="860" t="s">
        <v>388</v>
      </c>
      <c r="C10" s="861"/>
      <c r="D10" s="843">
        <v>20</v>
      </c>
      <c r="E10" s="477">
        <v>20</v>
      </c>
      <c r="F10" s="477">
        <v>30</v>
      </c>
      <c r="G10" s="826"/>
    </row>
    <row r="11" spans="1:7" s="171" customFormat="1" ht="52.5" customHeight="1">
      <c r="A11" s="478" t="s">
        <v>419</v>
      </c>
      <c r="B11" s="862">
        <v>20</v>
      </c>
      <c r="C11" s="863"/>
      <c r="D11" s="845"/>
      <c r="E11" s="477">
        <v>25</v>
      </c>
      <c r="F11" s="477">
        <v>0</v>
      </c>
      <c r="G11" s="827"/>
    </row>
    <row r="12" spans="1:7" s="171" customFormat="1" ht="26.25" customHeight="1">
      <c r="A12" s="846" t="s">
        <v>392</v>
      </c>
      <c r="B12" s="847"/>
      <c r="C12" s="848"/>
      <c r="D12" s="843">
        <v>30</v>
      </c>
      <c r="E12" s="477">
        <v>30</v>
      </c>
      <c r="F12" s="477">
        <v>20</v>
      </c>
      <c r="G12" s="825"/>
    </row>
    <row r="13" spans="1:7" s="171" customFormat="1" ht="42.75" customHeight="1">
      <c r="A13" s="478" t="s">
        <v>393</v>
      </c>
      <c r="B13" s="835">
        <v>30</v>
      </c>
      <c r="C13" s="836"/>
      <c r="D13" s="844"/>
      <c r="E13" s="477">
        <v>10</v>
      </c>
      <c r="F13" s="477">
        <v>30</v>
      </c>
      <c r="G13" s="826"/>
    </row>
    <row r="14" spans="1:7" s="171" customFormat="1" ht="35.25" customHeight="1">
      <c r="A14" s="709" t="s">
        <v>394</v>
      </c>
      <c r="B14" s="837">
        <v>10</v>
      </c>
      <c r="C14" s="838"/>
      <c r="D14" s="845"/>
      <c r="E14" s="477"/>
      <c r="F14" s="477"/>
      <c r="G14" s="827"/>
    </row>
    <row r="15" spans="1:7" s="167" customFormat="1" ht="64.5" customHeight="1">
      <c r="A15" s="731" t="s">
        <v>395</v>
      </c>
      <c r="B15" s="839" t="s">
        <v>396</v>
      </c>
      <c r="C15" s="834" t="s">
        <v>397</v>
      </c>
      <c r="D15" s="841"/>
      <c r="E15" s="477">
        <v>0</v>
      </c>
      <c r="F15" s="477">
        <v>0</v>
      </c>
      <c r="G15" s="1000"/>
    </row>
    <row r="16" spans="1:7" ht="66" customHeight="1">
      <c r="A16" s="202" t="s">
        <v>398</v>
      </c>
      <c r="B16" s="840"/>
      <c r="C16" s="838"/>
      <c r="D16" s="842"/>
      <c r="E16" s="477">
        <v>8</v>
      </c>
      <c r="F16" s="477">
        <v>3</v>
      </c>
      <c r="G16" s="1001"/>
    </row>
    <row r="17" spans="1:7" ht="24.95" customHeight="1">
      <c r="A17" s="478" t="s">
        <v>358</v>
      </c>
      <c r="B17" s="710">
        <v>16</v>
      </c>
      <c r="C17" s="711">
        <v>8</v>
      </c>
      <c r="D17" s="705">
        <v>16</v>
      </c>
      <c r="E17" s="477">
        <v>16</v>
      </c>
      <c r="F17" s="477">
        <v>6</v>
      </c>
      <c r="G17" s="1001"/>
    </row>
    <row r="18" spans="1:7" ht="24.95" customHeight="1">
      <c r="A18" s="478" t="s">
        <v>357</v>
      </c>
      <c r="B18" s="710">
        <v>6</v>
      </c>
      <c r="C18" s="712">
        <v>3</v>
      </c>
      <c r="D18" s="705">
        <v>6</v>
      </c>
      <c r="E18" s="477">
        <v>0</v>
      </c>
      <c r="F18" s="477"/>
      <c r="G18" s="1001"/>
    </row>
    <row r="19" spans="1:7">
      <c r="A19" s="707" t="s">
        <v>399</v>
      </c>
      <c r="B19" s="710">
        <v>10</v>
      </c>
      <c r="C19" s="712">
        <v>5</v>
      </c>
      <c r="D19" s="705"/>
      <c r="E19" s="477">
        <v>5</v>
      </c>
      <c r="F19" s="477"/>
      <c r="G19" s="1001"/>
    </row>
    <row r="20" spans="1:7" ht="24.95" customHeight="1">
      <c r="A20" s="478" t="s">
        <v>400</v>
      </c>
      <c r="B20" s="710">
        <v>10</v>
      </c>
      <c r="C20" s="712">
        <v>5</v>
      </c>
      <c r="D20" s="705">
        <v>10</v>
      </c>
      <c r="E20" s="167">
        <v>10</v>
      </c>
      <c r="F20" s="167"/>
      <c r="G20" s="1002"/>
    </row>
    <row r="21" spans="1:7" ht="16.5" thickBot="1">
      <c r="A21" s="455" t="s">
        <v>31</v>
      </c>
      <c r="B21" s="456"/>
      <c r="C21" s="456"/>
      <c r="D21" s="479">
        <f>IF(SUM(D4:D20)&lt;120,SUM(D4:D20),120)</f>
        <v>120</v>
      </c>
      <c r="G21" s="659"/>
    </row>
    <row r="22" spans="1:7">
      <c r="A22" s="481"/>
    </row>
  </sheetData>
  <sheetProtection algorithmName="SHA-512" hashValue="ojutmjBqxcXImIPU0o3KO3eVSNwALhyTuqalokB8O3kGO2MCUPKmoNKNhirTtf0xHFzXmhOG10HqPNjt04ORyg==" saltValue="HDEDJMxfFy0Y5cFYlGArXA==" spinCount="100000" sheet="1" selectLockedCells="1"/>
  <mergeCells count="22">
    <mergeCell ref="G6:G9"/>
    <mergeCell ref="G10:G11"/>
    <mergeCell ref="A1:G1"/>
    <mergeCell ref="B3:C3"/>
    <mergeCell ref="B4:C5"/>
    <mergeCell ref="D4:D5"/>
    <mergeCell ref="G4:G5"/>
    <mergeCell ref="G12:G14"/>
    <mergeCell ref="B6:C6"/>
    <mergeCell ref="D6:D9"/>
    <mergeCell ref="B7:C9"/>
    <mergeCell ref="B15:B16"/>
    <mergeCell ref="C15:C16"/>
    <mergeCell ref="D15:D16"/>
    <mergeCell ref="D12:D14"/>
    <mergeCell ref="B13:C13"/>
    <mergeCell ref="B14:C14"/>
    <mergeCell ref="A12:C12"/>
    <mergeCell ref="A8:A9"/>
    <mergeCell ref="B10:C10"/>
    <mergeCell ref="D10:D11"/>
    <mergeCell ref="B11:C11"/>
  </mergeCells>
  <dataValidations count="7">
    <dataValidation type="list" allowBlank="1" showInputMessage="1" showErrorMessage="1" errorTitle="Falscher Wert!" error="Bitte geben Sie die Zahl 0,10,15 oder 20 ein." sqref="D10:D11">
      <formula1>$F$11:$F$12</formula1>
    </dataValidation>
    <dataValidation type="list" allowBlank="1" showInputMessage="1" showErrorMessage="1" errorTitle="Falscher Wert!" error="Bitte geben Sie die Zahl 0 oder 5 ein." sqref="D19:D20">
      <formula1>$E$18:$E$20</formula1>
    </dataValidation>
    <dataValidation type="list" allowBlank="1" showInputMessage="1" showErrorMessage="1" errorTitle="Falscher Wert!" error="Bitte geben Sie die Zahl 0 oder 10 ein." sqref="D17">
      <formula1>$E$15:$E$17</formula1>
    </dataValidation>
    <dataValidation type="list" allowBlank="1" showInputMessage="1" showErrorMessage="1" errorTitle="Falscher Wert!" error="Bitte geben Sie die Zahl 0,10,15 oder 20 ein." sqref="D6">
      <formula1>$E$7:$E$12</formula1>
    </dataValidation>
    <dataValidation type="list" allowBlank="1" showInputMessage="1" showErrorMessage="1" sqref="D4:D5">
      <formula1>$E$4:$F$4</formula1>
    </dataValidation>
    <dataValidation type="list" allowBlank="1" showInputMessage="1" showErrorMessage="1" errorTitle="Falscher Wert!" error="Bitte geben Sie die Zahl 0 oder 10 ein." sqref="D18">
      <formula1>$F$15:$F$17</formula1>
    </dataValidation>
    <dataValidation type="list" allowBlank="1" showInputMessage="1" showErrorMessage="1" errorTitle="Falscher Wert!" error="Bitte geben Sie die Zahl 0,10,25 oder 35 ein." sqref="D12:D14">
      <formula1>$F$8:$F$10</formula1>
    </dataValidation>
  </dataValidations>
  <printOptions horizontalCentered="1"/>
  <pageMargins left="0.59055118110236227" right="0.59055118110236227" top="0.59055118110236227" bottom="0.59055118110236227" header="0.31496062992125984" footer="0.31496062992125984"/>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topLeftCell="B10" zoomScale="70" zoomScaleNormal="70" workbookViewId="0">
      <selection activeCell="J37" sqref="J37"/>
    </sheetView>
  </sheetViews>
  <sheetFormatPr baseColWidth="10" defaultColWidth="11.42578125" defaultRowHeight="12.75"/>
  <cols>
    <col min="1" max="1" width="23.42578125" style="198" customWidth="1"/>
    <col min="2" max="2" width="57.85546875" style="198" customWidth="1"/>
    <col min="3" max="3" width="70.140625" style="198" customWidth="1"/>
    <col min="4" max="4" width="11.42578125" style="198"/>
    <col min="5" max="5" width="15.7109375" style="171" customWidth="1"/>
    <col min="6" max="6" width="4.140625" style="198" hidden="1" customWidth="1"/>
    <col min="7" max="7" width="7.85546875" style="198" hidden="1" customWidth="1"/>
    <col min="8" max="8" width="6" style="198" hidden="1" customWidth="1"/>
    <col min="9" max="9" width="7.42578125" style="198" hidden="1" customWidth="1"/>
    <col min="10" max="10" width="30.7109375" style="198" customWidth="1"/>
    <col min="11" max="16384" width="11.42578125" style="198"/>
  </cols>
  <sheetData>
    <row r="1" spans="1:10" ht="24.95" customHeight="1">
      <c r="A1" s="869" t="s">
        <v>344</v>
      </c>
      <c r="B1" s="869"/>
      <c r="C1" s="869"/>
      <c r="D1" s="869"/>
      <c r="E1" s="869"/>
      <c r="F1" s="869"/>
      <c r="G1" s="869"/>
      <c r="H1" s="869"/>
      <c r="I1" s="869"/>
      <c r="J1" s="869"/>
    </row>
    <row r="2" spans="1:10" ht="7.5" customHeight="1" thickBot="1">
      <c r="A2" s="210"/>
      <c r="B2" s="210"/>
      <c r="C2" s="210"/>
      <c r="D2" s="210"/>
      <c r="E2" s="221"/>
    </row>
    <row r="3" spans="1:10" ht="24" customHeight="1">
      <c r="A3" s="870" t="s">
        <v>87</v>
      </c>
      <c r="B3" s="871"/>
      <c r="C3" s="871"/>
      <c r="D3" s="871"/>
      <c r="E3" s="872"/>
      <c r="J3" s="157" t="s">
        <v>24</v>
      </c>
    </row>
    <row r="4" spans="1:10" s="171" customFormat="1" ht="24.95" customHeight="1">
      <c r="A4" s="873" t="s">
        <v>88</v>
      </c>
      <c r="B4" s="875" t="s">
        <v>89</v>
      </c>
      <c r="C4" s="263" t="s">
        <v>90</v>
      </c>
      <c r="D4" s="482" t="s">
        <v>91</v>
      </c>
      <c r="E4" s="592"/>
      <c r="F4" s="477"/>
      <c r="G4" s="477"/>
      <c r="H4" s="477"/>
      <c r="I4" s="477"/>
      <c r="J4" s="660"/>
    </row>
    <row r="5" spans="1:10" s="171" customFormat="1" ht="24.95" customHeight="1" thickBot="1">
      <c r="A5" s="874"/>
      <c r="B5" s="876"/>
      <c r="C5" s="483" t="s">
        <v>92</v>
      </c>
      <c r="D5" s="484" t="s">
        <v>91</v>
      </c>
      <c r="E5" s="593"/>
      <c r="F5" s="477"/>
      <c r="G5" s="877" t="str">
        <f>IF(ISNUMBER(E5),E4/E5,"Keine Eingabe")</f>
        <v>Keine Eingabe</v>
      </c>
      <c r="H5" s="877"/>
      <c r="I5" s="477"/>
      <c r="J5" s="660"/>
    </row>
    <row r="6" spans="1:10" ht="7.5" customHeight="1" thickBot="1">
      <c r="A6" s="210"/>
      <c r="B6" s="210"/>
      <c r="C6" s="210"/>
      <c r="D6" s="210"/>
      <c r="E6" s="221"/>
    </row>
    <row r="7" spans="1:10" ht="42.75" customHeight="1">
      <c r="A7" s="204" t="s">
        <v>93</v>
      </c>
      <c r="B7" s="485" t="s">
        <v>94</v>
      </c>
      <c r="C7" s="485" t="s">
        <v>95</v>
      </c>
      <c r="D7" s="486" t="s">
        <v>96</v>
      </c>
      <c r="E7" s="436" t="s">
        <v>85</v>
      </c>
      <c r="J7" s="157" t="s">
        <v>24</v>
      </c>
    </row>
    <row r="8" spans="1:10" s="171" customFormat="1" ht="24.95" customHeight="1">
      <c r="A8" s="867" t="s">
        <v>97</v>
      </c>
      <c r="B8" s="263" t="s">
        <v>98</v>
      </c>
      <c r="C8" s="263" t="s">
        <v>99</v>
      </c>
      <c r="D8" s="487">
        <v>4</v>
      </c>
      <c r="E8" s="265">
        <v>0</v>
      </c>
      <c r="F8" s="171">
        <v>0</v>
      </c>
      <c r="G8" s="171">
        <v>4</v>
      </c>
      <c r="J8" s="660"/>
    </row>
    <row r="9" spans="1:10" s="171" customFormat="1" ht="24" customHeight="1">
      <c r="A9" s="868"/>
      <c r="B9" s="732" t="s">
        <v>100</v>
      </c>
      <c r="C9" s="733"/>
      <c r="D9" s="734" t="s">
        <v>101</v>
      </c>
      <c r="E9" s="450">
        <f>SUM(E8)</f>
        <v>0</v>
      </c>
      <c r="J9" s="660"/>
    </row>
    <row r="10" spans="1:10" s="171" customFormat="1" ht="65.099999999999994" customHeight="1">
      <c r="A10" s="873" t="s">
        <v>102</v>
      </c>
      <c r="B10" s="880" t="s">
        <v>334</v>
      </c>
      <c r="C10" s="488" t="s">
        <v>103</v>
      </c>
      <c r="D10" s="489">
        <f>IF($G$15=8,7,14)</f>
        <v>14</v>
      </c>
      <c r="E10" s="882"/>
      <c r="F10" s="171">
        <v>0</v>
      </c>
      <c r="G10" s="171">
        <f>IF($G$15=8,4,7)</f>
        <v>7</v>
      </c>
      <c r="H10" s="171">
        <f>IF($G$15=8,7,14)</f>
        <v>14</v>
      </c>
      <c r="I10" s="477"/>
      <c r="J10" s="884"/>
    </row>
    <row r="11" spans="1:10" s="171" customFormat="1" ht="65.099999999999994" customHeight="1">
      <c r="A11" s="878"/>
      <c r="B11" s="881"/>
      <c r="C11" s="490" t="s">
        <v>104</v>
      </c>
      <c r="D11" s="280">
        <f>IF($G$15=8,4,7)</f>
        <v>7</v>
      </c>
      <c r="E11" s="883"/>
      <c r="I11" s="477"/>
      <c r="J11" s="885"/>
    </row>
    <row r="12" spans="1:10" s="171" customFormat="1" ht="24.95" customHeight="1">
      <c r="A12" s="878"/>
      <c r="B12" s="880" t="s">
        <v>105</v>
      </c>
      <c r="C12" s="491" t="s">
        <v>106</v>
      </c>
      <c r="D12" s="482">
        <f>IF($G$15=8,4,7)</f>
        <v>7</v>
      </c>
      <c r="E12" s="882"/>
      <c r="F12" s="171">
        <v>0</v>
      </c>
      <c r="G12" s="171">
        <f>IF($G$15=8,2,4)</f>
        <v>4</v>
      </c>
      <c r="H12" s="171">
        <f>IF($G$15=8,4,7)</f>
        <v>7</v>
      </c>
      <c r="I12" s="477"/>
      <c r="J12" s="884"/>
    </row>
    <row r="13" spans="1:10" s="171" customFormat="1" ht="24.95" customHeight="1">
      <c r="A13" s="878"/>
      <c r="B13" s="881"/>
      <c r="C13" s="490" t="s">
        <v>104</v>
      </c>
      <c r="D13" s="268">
        <f>IF($G$15=8,2,4)</f>
        <v>4</v>
      </c>
      <c r="E13" s="883"/>
      <c r="I13" s="477"/>
      <c r="J13" s="885"/>
    </row>
    <row r="14" spans="1:10" s="171" customFormat="1" ht="89.25">
      <c r="A14" s="878"/>
      <c r="B14" s="191" t="s">
        <v>107</v>
      </c>
      <c r="C14" s="492" t="s">
        <v>108</v>
      </c>
      <c r="D14" s="206">
        <f>IF($G$15=7.5,1,2)</f>
        <v>2</v>
      </c>
      <c r="E14" s="437"/>
      <c r="F14" s="171">
        <v>0</v>
      </c>
      <c r="G14" s="171">
        <v>2</v>
      </c>
      <c r="I14" s="477"/>
      <c r="J14" s="660"/>
    </row>
    <row r="15" spans="1:10" s="171" customFormat="1" ht="23.25" customHeight="1">
      <c r="A15" s="879"/>
      <c r="B15" s="886" t="s">
        <v>109</v>
      </c>
      <c r="C15" s="887"/>
      <c r="D15" s="735" t="str">
        <f>IF(G15=8,"Max. 8","Max. 16")</f>
        <v>Max. 16</v>
      </c>
      <c r="E15" s="450">
        <f>IF(SUM(E10:E14)&lt;G15,SUM(E10:E14),G15)</f>
        <v>0</v>
      </c>
      <c r="F15" s="477"/>
      <c r="G15" s="493">
        <f>IF($G$5&lt;0.5,8,16)</f>
        <v>16</v>
      </c>
      <c r="H15" s="477"/>
      <c r="I15" s="477"/>
      <c r="J15" s="660"/>
    </row>
    <row r="16" spans="1:10" s="171" customFormat="1" ht="30.95" customHeight="1">
      <c r="A16" s="867" t="s">
        <v>110</v>
      </c>
      <c r="B16" s="889" t="s">
        <v>359</v>
      </c>
      <c r="C16" s="488" t="s">
        <v>111</v>
      </c>
      <c r="D16" s="482">
        <v>5</v>
      </c>
      <c r="E16" s="891"/>
      <c r="F16" s="477">
        <v>0</v>
      </c>
      <c r="G16" s="477">
        <v>3</v>
      </c>
      <c r="H16" s="477">
        <v>5</v>
      </c>
      <c r="I16" s="477"/>
      <c r="J16" s="884"/>
    </row>
    <row r="17" spans="1:10" s="171" customFormat="1" ht="24.95" customHeight="1">
      <c r="A17" s="888"/>
      <c r="B17" s="890"/>
      <c r="C17" s="490" t="s">
        <v>112</v>
      </c>
      <c r="D17" s="276">
        <v>3</v>
      </c>
      <c r="E17" s="883"/>
      <c r="F17" s="477"/>
      <c r="G17" s="477"/>
      <c r="H17" s="477"/>
      <c r="I17" s="477"/>
      <c r="J17" s="885"/>
    </row>
    <row r="18" spans="1:10" s="171" customFormat="1" ht="22.5" customHeight="1">
      <c r="A18" s="868"/>
      <c r="B18" s="886" t="s">
        <v>109</v>
      </c>
      <c r="C18" s="887"/>
      <c r="D18" s="735" t="s">
        <v>113</v>
      </c>
      <c r="E18" s="450">
        <f>E16</f>
        <v>0</v>
      </c>
      <c r="J18" s="660"/>
    </row>
    <row r="19" spans="1:10" s="171" customFormat="1" ht="24.95" customHeight="1">
      <c r="A19" s="867" t="s">
        <v>114</v>
      </c>
      <c r="B19" s="892" t="s">
        <v>115</v>
      </c>
      <c r="C19" s="488" t="s">
        <v>116</v>
      </c>
      <c r="D19" s="482">
        <v>4</v>
      </c>
      <c r="E19" s="437"/>
      <c r="F19" s="477">
        <v>0</v>
      </c>
      <c r="G19" s="477">
        <v>4</v>
      </c>
      <c r="H19" s="477"/>
      <c r="I19" s="477"/>
      <c r="J19" s="660"/>
    </row>
    <row r="20" spans="1:10" s="171" customFormat="1" ht="42" customHeight="1">
      <c r="A20" s="888"/>
      <c r="B20" s="893"/>
      <c r="C20" s="263" t="s">
        <v>360</v>
      </c>
      <c r="D20" s="482">
        <v>4</v>
      </c>
      <c r="E20" s="882"/>
      <c r="F20" s="477">
        <v>0</v>
      </c>
      <c r="G20" s="477">
        <v>2</v>
      </c>
      <c r="H20" s="477">
        <v>4</v>
      </c>
      <c r="I20" s="477"/>
      <c r="J20" s="884"/>
    </row>
    <row r="21" spans="1:10" s="171" customFormat="1" ht="44.25" customHeight="1">
      <c r="A21" s="888"/>
      <c r="B21" s="893"/>
      <c r="C21" s="490" t="s">
        <v>361</v>
      </c>
      <c r="D21" s="276">
        <v>2</v>
      </c>
      <c r="E21" s="883"/>
      <c r="F21" s="477"/>
      <c r="G21" s="477"/>
      <c r="H21" s="477"/>
      <c r="I21" s="477"/>
      <c r="J21" s="885"/>
    </row>
    <row r="22" spans="1:10" s="171" customFormat="1" ht="24.95" customHeight="1">
      <c r="A22" s="888"/>
      <c r="B22" s="893"/>
      <c r="C22" s="263" t="s">
        <v>362</v>
      </c>
      <c r="D22" s="482">
        <v>4</v>
      </c>
      <c r="E22" s="882"/>
      <c r="F22" s="477">
        <v>0</v>
      </c>
      <c r="G22" s="477">
        <v>2</v>
      </c>
      <c r="H22" s="477">
        <v>4</v>
      </c>
      <c r="I22" s="477"/>
      <c r="J22" s="884"/>
    </row>
    <row r="23" spans="1:10" s="171" customFormat="1" ht="45" customHeight="1">
      <c r="A23" s="888"/>
      <c r="B23" s="893"/>
      <c r="C23" s="490" t="s">
        <v>363</v>
      </c>
      <c r="D23" s="276">
        <v>2</v>
      </c>
      <c r="E23" s="883"/>
      <c r="F23" s="477"/>
      <c r="G23" s="477"/>
      <c r="H23" s="477"/>
      <c r="I23" s="477"/>
      <c r="J23" s="885"/>
    </row>
    <row r="24" spans="1:10" s="171" customFormat="1" ht="24.95" customHeight="1">
      <c r="A24" s="888"/>
      <c r="B24" s="893"/>
      <c r="C24" s="894" t="s">
        <v>117</v>
      </c>
      <c r="D24" s="835">
        <v>2</v>
      </c>
      <c r="E24" s="891"/>
      <c r="F24" s="477">
        <v>0</v>
      </c>
      <c r="G24" s="477">
        <v>2</v>
      </c>
      <c r="H24" s="477"/>
      <c r="I24" s="477"/>
      <c r="J24" s="896"/>
    </row>
    <row r="25" spans="1:10" s="171" customFormat="1">
      <c r="A25" s="888"/>
      <c r="B25" s="881"/>
      <c r="C25" s="895"/>
      <c r="D25" s="837"/>
      <c r="E25" s="883"/>
      <c r="F25" s="477"/>
      <c r="G25" s="477"/>
      <c r="H25" s="477"/>
      <c r="I25" s="477"/>
      <c r="J25" s="896"/>
    </row>
    <row r="26" spans="1:10" s="171" customFormat="1" ht="24.95" customHeight="1">
      <c r="A26" s="868"/>
      <c r="B26" s="886" t="s">
        <v>109</v>
      </c>
      <c r="C26" s="887"/>
      <c r="D26" s="734" t="s">
        <v>118</v>
      </c>
      <c r="E26" s="450">
        <f>IF(SUM(E19:E25)&lt;12,SUM(E19:E25),12)</f>
        <v>0</v>
      </c>
      <c r="J26" s="663"/>
    </row>
    <row r="27" spans="1:10" s="171" customFormat="1" ht="24.95" customHeight="1">
      <c r="A27" s="867" t="s">
        <v>119</v>
      </c>
      <c r="B27" s="889" t="s">
        <v>120</v>
      </c>
      <c r="C27" s="438" t="s">
        <v>121</v>
      </c>
      <c r="D27" s="494">
        <v>3</v>
      </c>
      <c r="E27" s="437"/>
      <c r="F27" s="171">
        <v>0</v>
      </c>
      <c r="G27" s="171">
        <v>3</v>
      </c>
      <c r="J27" s="663"/>
    </row>
    <row r="28" spans="1:10" s="171" customFormat="1" ht="24.95" customHeight="1">
      <c r="A28" s="900"/>
      <c r="B28" s="902"/>
      <c r="C28" s="438" t="s">
        <v>122</v>
      </c>
      <c r="D28" s="494">
        <v>2</v>
      </c>
      <c r="E28" s="437"/>
      <c r="F28" s="171">
        <v>0</v>
      </c>
      <c r="G28" s="171">
        <v>2</v>
      </c>
      <c r="J28" s="663"/>
    </row>
    <row r="29" spans="1:10" s="171" customFormat="1" ht="24.95" customHeight="1">
      <c r="A29" s="901"/>
      <c r="B29" s="903"/>
      <c r="C29" s="495" t="s">
        <v>123</v>
      </c>
      <c r="D29" s="494">
        <v>1</v>
      </c>
      <c r="E29" s="437"/>
      <c r="F29" s="171">
        <v>0</v>
      </c>
      <c r="G29" s="171">
        <v>1</v>
      </c>
      <c r="J29" s="663"/>
    </row>
    <row r="30" spans="1:10" s="171" customFormat="1" ht="24.95" customHeight="1">
      <c r="A30" s="439"/>
      <c r="B30" s="886" t="s">
        <v>109</v>
      </c>
      <c r="C30" s="887"/>
      <c r="D30" s="734" t="s">
        <v>124</v>
      </c>
      <c r="E30" s="450">
        <f>SUM(E27:E29)</f>
        <v>0</v>
      </c>
      <c r="J30" s="663"/>
    </row>
    <row r="31" spans="1:10" s="171" customFormat="1" ht="30" customHeight="1">
      <c r="A31" s="867" t="s">
        <v>125</v>
      </c>
      <c r="B31" s="892" t="s">
        <v>126</v>
      </c>
      <c r="C31" s="491" t="s">
        <v>127</v>
      </c>
      <c r="D31" s="496">
        <v>8</v>
      </c>
      <c r="E31" s="882"/>
      <c r="F31" s="477">
        <v>0</v>
      </c>
      <c r="G31" s="477">
        <v>2</v>
      </c>
      <c r="H31" s="477">
        <v>5</v>
      </c>
      <c r="I31" s="477">
        <v>8</v>
      </c>
      <c r="J31" s="884"/>
    </row>
    <row r="32" spans="1:10" s="171" customFormat="1" ht="30" customHeight="1">
      <c r="A32" s="888"/>
      <c r="B32" s="892"/>
      <c r="C32" s="497" t="s">
        <v>128</v>
      </c>
      <c r="D32" s="498">
        <v>5</v>
      </c>
      <c r="E32" s="891"/>
      <c r="F32" s="477"/>
      <c r="G32" s="477"/>
      <c r="H32" s="477"/>
      <c r="I32" s="477"/>
      <c r="J32" s="897"/>
    </row>
    <row r="33" spans="1:10" s="171" customFormat="1" ht="30" customHeight="1">
      <c r="A33" s="888"/>
      <c r="B33" s="881"/>
      <c r="C33" s="490" t="s">
        <v>129</v>
      </c>
      <c r="D33" s="268">
        <v>2</v>
      </c>
      <c r="E33" s="883"/>
      <c r="F33" s="477"/>
      <c r="G33" s="477"/>
      <c r="H33" s="477"/>
      <c r="I33" s="477"/>
      <c r="J33" s="885"/>
    </row>
    <row r="34" spans="1:10" s="171" customFormat="1" ht="53.25" customHeight="1">
      <c r="A34" s="888"/>
      <c r="B34" s="191" t="s">
        <v>130</v>
      </c>
      <c r="C34" s="499" t="s">
        <v>364</v>
      </c>
      <c r="D34" s="264">
        <v>5</v>
      </c>
      <c r="E34" s="437"/>
      <c r="F34" s="477">
        <v>0</v>
      </c>
      <c r="G34" s="477">
        <v>5</v>
      </c>
      <c r="H34" s="477"/>
      <c r="I34" s="477"/>
      <c r="J34" s="663"/>
    </row>
    <row r="35" spans="1:10" s="171" customFormat="1" ht="30" customHeight="1">
      <c r="A35" s="888"/>
      <c r="B35" s="191" t="s">
        <v>131</v>
      </c>
      <c r="C35" s="499" t="s">
        <v>132</v>
      </c>
      <c r="D35" s="264">
        <v>5</v>
      </c>
      <c r="E35" s="437"/>
      <c r="F35" s="477">
        <v>0</v>
      </c>
      <c r="G35" s="477">
        <v>5</v>
      </c>
      <c r="H35" s="477"/>
      <c r="I35" s="477"/>
      <c r="J35" s="663"/>
    </row>
    <row r="36" spans="1:10" s="171" customFormat="1" ht="30" customHeight="1">
      <c r="A36" s="888"/>
      <c r="B36" s="604" t="s">
        <v>133</v>
      </c>
      <c r="C36" s="263" t="s">
        <v>134</v>
      </c>
      <c r="D36" s="264">
        <v>5</v>
      </c>
      <c r="E36" s="437"/>
      <c r="F36" s="477">
        <v>0</v>
      </c>
      <c r="G36" s="477">
        <v>5</v>
      </c>
      <c r="H36" s="477"/>
      <c r="I36" s="477"/>
      <c r="J36" s="663"/>
    </row>
    <row r="37" spans="1:10" s="171" customFormat="1" ht="24.95" customHeight="1">
      <c r="A37" s="868"/>
      <c r="B37" s="886" t="s">
        <v>109</v>
      </c>
      <c r="C37" s="887"/>
      <c r="D37" s="735" t="s">
        <v>135</v>
      </c>
      <c r="E37" s="500">
        <f>IF(SUM(E31:E36)&lt;20,SUM(E31:E36),20)</f>
        <v>0</v>
      </c>
      <c r="J37" s="663"/>
    </row>
    <row r="38" spans="1:10" s="171" customFormat="1" ht="24.95" customHeight="1" thickBot="1">
      <c r="A38" s="898" t="s">
        <v>31</v>
      </c>
      <c r="B38" s="899"/>
      <c r="C38" s="899"/>
      <c r="D38" s="501"/>
      <c r="E38" s="261">
        <f>IF(SUM(E9,E15,E18,E26,E30,E37)&lt;60,SUM(E9,E15,E18,E26,E30,E37),60)</f>
        <v>0</v>
      </c>
      <c r="F38" s="167"/>
      <c r="G38" s="167"/>
      <c r="H38" s="167"/>
      <c r="I38" s="167"/>
      <c r="J38" s="200"/>
    </row>
    <row r="39" spans="1:10" s="167" customFormat="1" ht="30" customHeight="1">
      <c r="A39" s="164"/>
      <c r="B39" s="164"/>
      <c r="C39" s="164"/>
      <c r="D39" s="164"/>
      <c r="E39" s="480"/>
      <c r="F39" s="198"/>
      <c r="G39" s="198"/>
      <c r="H39" s="198"/>
      <c r="I39" s="198"/>
      <c r="J39" s="198"/>
    </row>
  </sheetData>
  <sheetProtection algorithmName="SHA-512" hashValue="G+omL6gLTSk0TLpH579i2d0xdygbl9eeI3xNXRwivgPNEREY+g/dEufmFRTkkYDvEhnHgvQaM3Uprzl0CbqpyQ==" saltValue="FOVFJSZ6jPAbhM9RVYse7g==" spinCount="100000" sheet="1" selectLockedCells="1"/>
  <mergeCells count="39">
    <mergeCell ref="J31:J33"/>
    <mergeCell ref="B37:C37"/>
    <mergeCell ref="A38:C38"/>
    <mergeCell ref="A27:A29"/>
    <mergeCell ref="B27:B29"/>
    <mergeCell ref="B30:C30"/>
    <mergeCell ref="A31:A37"/>
    <mergeCell ref="B31:B33"/>
    <mergeCell ref="E31:E33"/>
    <mergeCell ref="B26:C26"/>
    <mergeCell ref="A16:A18"/>
    <mergeCell ref="B16:B17"/>
    <mergeCell ref="E16:E17"/>
    <mergeCell ref="J16:J17"/>
    <mergeCell ref="B18:C18"/>
    <mergeCell ref="A19:A26"/>
    <mergeCell ref="B19:B25"/>
    <mergeCell ref="E20:E21"/>
    <mergeCell ref="J20:J21"/>
    <mergeCell ref="E22:E23"/>
    <mergeCell ref="J22:J23"/>
    <mergeCell ref="C24:C25"/>
    <mergeCell ref="D24:D25"/>
    <mergeCell ref="E24:E25"/>
    <mergeCell ref="J24:J25"/>
    <mergeCell ref="A10:A15"/>
    <mergeCell ref="B10:B11"/>
    <mergeCell ref="E10:E11"/>
    <mergeCell ref="J10:J11"/>
    <mergeCell ref="B12:B13"/>
    <mergeCell ref="E12:E13"/>
    <mergeCell ref="J12:J13"/>
    <mergeCell ref="B15:C15"/>
    <mergeCell ref="A8:A9"/>
    <mergeCell ref="A1:J1"/>
    <mergeCell ref="A3:E3"/>
    <mergeCell ref="A4:A5"/>
    <mergeCell ref="B4:B5"/>
    <mergeCell ref="G5:H5"/>
  </mergeCells>
  <dataValidations count="16">
    <dataValidation type="list" allowBlank="1" showInputMessage="1" showErrorMessage="1" sqref="E14">
      <formula1>$F$14:$G$14</formula1>
    </dataValidation>
    <dataValidation type="list" allowBlank="1" showInputMessage="1" showErrorMessage="1" sqref="E35">
      <formula1>$F$35:$G$35</formula1>
    </dataValidation>
    <dataValidation type="list" allowBlank="1" showInputMessage="1" showErrorMessage="1" sqref="E34">
      <formula1>$F$34:$G$34</formula1>
    </dataValidation>
    <dataValidation type="list" allowBlank="1" showInputMessage="1" showErrorMessage="1" sqref="E31:E33">
      <formula1>$F$31:$I$31</formula1>
    </dataValidation>
    <dataValidation type="list" allowBlank="1" showInputMessage="1" showErrorMessage="1" sqref="E22:E23">
      <formula1>$F$22:$H$22</formula1>
    </dataValidation>
    <dataValidation type="list" allowBlank="1" showInputMessage="1" showErrorMessage="1" sqref="E20:E21">
      <formula1>$F$20:$H$20</formula1>
    </dataValidation>
    <dataValidation type="list" allowBlank="1" showInputMessage="1" showErrorMessage="1" sqref="E24:E25">
      <formula1>$F$24:$G$24</formula1>
    </dataValidation>
    <dataValidation type="list" allowBlank="1" showInputMessage="1" showErrorMessage="1" sqref="E29">
      <formula1>$F$29:$G$29</formula1>
    </dataValidation>
    <dataValidation type="list" allowBlank="1" showInputMessage="1" showErrorMessage="1" sqref="E28">
      <formula1>$F$28:$G$28</formula1>
    </dataValidation>
    <dataValidation type="list" allowBlank="1" showInputMessage="1" showErrorMessage="1" sqref="E27">
      <formula1>$F$27:$G$27</formula1>
    </dataValidation>
    <dataValidation type="list" allowBlank="1" showInputMessage="1" showErrorMessage="1" sqref="E36">
      <formula1>$F$36:$G$36</formula1>
    </dataValidation>
    <dataValidation type="list" allowBlank="1" showInputMessage="1" showErrorMessage="1" sqref="E19">
      <formula1>$F$19:$G$19</formula1>
    </dataValidation>
    <dataValidation type="list" allowBlank="1" showInputMessage="1" showErrorMessage="1" sqref="E16:E17">
      <formula1>$F$16:$H$16</formula1>
    </dataValidation>
    <dataValidation type="list" allowBlank="1" showInputMessage="1" showErrorMessage="1" sqref="E12:E13">
      <formula1>$F$12:$H$12</formula1>
    </dataValidation>
    <dataValidation type="list" allowBlank="1" showInputMessage="1" showErrorMessage="1" sqref="E10:E11">
      <formula1>$F$10:$H$10</formula1>
    </dataValidation>
    <dataValidation type="list" allowBlank="1" showInputMessage="1" showErrorMessage="1" sqref="E8">
      <formula1>$F$8:$G$8</formula1>
    </dataValidation>
  </dataValidations>
  <printOptions horizontalCentered="1"/>
  <pageMargins left="0.59055118110236227" right="0.59055118110236227" top="0.59055118110236227" bottom="0.59055118110236227" header="0.31496062992125984" footer="0.31496062992125984"/>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showGridLines="0" zoomScale="85" zoomScaleNormal="85" workbookViewId="0">
      <selection activeCell="F4" sqref="F4"/>
    </sheetView>
  </sheetViews>
  <sheetFormatPr baseColWidth="10" defaultColWidth="11.42578125" defaultRowHeight="12.75"/>
  <cols>
    <col min="1" max="1" width="37.42578125" style="198" customWidth="1"/>
    <col min="2" max="2" width="87.85546875" style="198" customWidth="1"/>
    <col min="3" max="3" width="10.28515625" style="198" customWidth="1"/>
    <col min="4" max="4" width="11.7109375" style="472" customWidth="1"/>
    <col min="5" max="5" width="11.42578125" style="198" hidden="1" customWidth="1"/>
    <col min="6" max="6" width="30.7109375" style="198" customWidth="1"/>
    <col min="7" max="16384" width="11.42578125" style="198"/>
  </cols>
  <sheetData>
    <row r="1" spans="1:6" ht="33" customHeight="1">
      <c r="A1" s="849" t="s">
        <v>370</v>
      </c>
      <c r="B1" s="849"/>
      <c r="C1" s="849"/>
      <c r="D1" s="849"/>
    </row>
    <row r="2" spans="1:6" ht="7.5" customHeight="1" thickBot="1">
      <c r="A2" s="210"/>
      <c r="B2" s="210"/>
      <c r="C2" s="210"/>
      <c r="D2" s="221"/>
    </row>
    <row r="3" spans="1:6" s="171" customFormat="1" ht="41.25" customHeight="1">
      <c r="A3" s="460" t="s">
        <v>84</v>
      </c>
      <c r="B3" s="461" t="s">
        <v>136</v>
      </c>
      <c r="C3" s="476" t="s">
        <v>137</v>
      </c>
      <c r="D3" s="463" t="s">
        <v>40</v>
      </c>
      <c r="E3" s="171">
        <v>0</v>
      </c>
      <c r="F3" s="464" t="s">
        <v>24</v>
      </c>
    </row>
    <row r="4" spans="1:6" ht="39.75">
      <c r="A4" s="475" t="s">
        <v>138</v>
      </c>
      <c r="B4" s="465" t="s">
        <v>335</v>
      </c>
      <c r="C4" s="474">
        <v>20</v>
      </c>
      <c r="D4" s="736"/>
      <c r="E4" s="468">
        <v>20</v>
      </c>
      <c r="F4" s="666"/>
    </row>
    <row r="5" spans="1:6" ht="84" customHeight="1">
      <c r="A5" s="475" t="s">
        <v>139</v>
      </c>
      <c r="B5" s="667" t="s">
        <v>418</v>
      </c>
      <c r="C5" s="474">
        <v>10</v>
      </c>
      <c r="D5" s="737"/>
      <c r="E5" s="468">
        <v>0</v>
      </c>
      <c r="F5" s="666"/>
    </row>
    <row r="6" spans="1:6" ht="30" customHeight="1">
      <c r="A6" s="475" t="s">
        <v>140</v>
      </c>
      <c r="B6" s="611" t="s">
        <v>336</v>
      </c>
      <c r="C6" s="612" t="s">
        <v>337</v>
      </c>
      <c r="D6" s="665"/>
      <c r="E6" s="468">
        <v>10</v>
      </c>
      <c r="F6" s="666"/>
    </row>
    <row r="7" spans="1:6" ht="24.95" customHeight="1" thickBot="1">
      <c r="A7" s="898" t="s">
        <v>31</v>
      </c>
      <c r="B7" s="899"/>
      <c r="C7" s="473"/>
      <c r="D7" s="470">
        <f>IF(SUM(D4:D6)&lt;=30,SUM(D4:D6),30)</f>
        <v>0</v>
      </c>
      <c r="E7" s="167"/>
      <c r="F7" s="167"/>
    </row>
    <row r="8" spans="1:6" ht="24.95" customHeight="1">
      <c r="A8" s="904"/>
      <c r="B8" s="904"/>
      <c r="C8" s="471"/>
    </row>
    <row r="9" spans="1:6" ht="57.75" customHeight="1">
      <c r="A9" s="905" t="s">
        <v>354</v>
      </c>
      <c r="B9" s="906"/>
      <c r="C9"/>
    </row>
    <row r="10" spans="1:6" ht="38.25" customHeight="1"/>
    <row r="11" spans="1:6" ht="24.95" customHeight="1"/>
    <row r="12" spans="1:6" s="167" customFormat="1" ht="32.25" customHeight="1">
      <c r="A12" s="198"/>
      <c r="B12" s="198"/>
      <c r="C12" s="198"/>
      <c r="D12" s="472"/>
      <c r="E12" s="198"/>
      <c r="F12" s="198"/>
    </row>
    <row r="13" spans="1:6" ht="14.25" customHeight="1"/>
  </sheetData>
  <sheetProtection algorithmName="SHA-512" hashValue="BQ3wFO1kvM6acamro+1FptI6J34g15Fyw8Bv5s5UXs/TJ5mSue1p6+TyANIWPp0uFvVELAmuWRB+aiO1iz2Jfw==" saltValue="TEisjaGVjc0Ez5KagkI5oA==" spinCount="100000" sheet="1" selectLockedCells="1"/>
  <mergeCells count="4">
    <mergeCell ref="A1:D1"/>
    <mergeCell ref="A7:B7"/>
    <mergeCell ref="A8:B8"/>
    <mergeCell ref="A9:B9"/>
  </mergeCells>
  <dataValidations count="3">
    <dataValidation type="list" allowBlank="1" showDropDown="1" showInputMessage="1" showErrorMessage="1" errorTitle="Falscher Wert!" error="Bitte geben Sie die Zahl 0 oder 1 ein." sqref="D6">
      <formula1>$E$4:$E$5</formula1>
    </dataValidation>
    <dataValidation type="list" allowBlank="1" showInputMessage="1" showErrorMessage="1" errorTitle="Falscher Wert!" error="Bitte geben Sie die Zahl 0 oder 1 ein." sqref="D4">
      <formula1>$E$3:$E$4</formula1>
    </dataValidation>
    <dataValidation type="list" allowBlank="1" showInputMessage="1" showErrorMessage="1" errorTitle="Falscher Wert!" error="Bitte geben Sie die Zahl 0 oder 1 ein." sqref="D5">
      <formula1>$E$5:$E$6</formula1>
    </dataValidation>
  </dataValidations>
  <printOptions horizontalCentered="1"/>
  <pageMargins left="0.59055118110236227" right="0.59055118110236227" top="0.59055118110236227" bottom="0.59055118110236227" header="0.31496062992125984" footer="0.31496062992125984"/>
  <pageSetup paperSize="9"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70" zoomScaleNormal="70" workbookViewId="0">
      <selection activeCell="I7" sqref="I7"/>
    </sheetView>
  </sheetViews>
  <sheetFormatPr baseColWidth="10" defaultColWidth="11.5703125" defaultRowHeight="12.75"/>
  <cols>
    <col min="1" max="1" width="26" style="443" customWidth="1"/>
    <col min="2" max="2" width="69.42578125" style="443" customWidth="1"/>
    <col min="3" max="3" width="24.42578125" style="443" customWidth="1"/>
    <col min="4" max="4" width="15.5703125" style="443" customWidth="1"/>
    <col min="5" max="5" width="13" style="443" bestFit="1" customWidth="1"/>
    <col min="6" max="8" width="11.42578125" style="443" hidden="1" customWidth="1"/>
    <col min="9" max="9" width="40.85546875" style="443" customWidth="1"/>
    <col min="10" max="16384" width="11.5703125" style="443"/>
  </cols>
  <sheetData>
    <row r="1" spans="1:10" ht="32.25" customHeight="1">
      <c r="A1" s="849" t="s">
        <v>369</v>
      </c>
      <c r="B1" s="849"/>
      <c r="C1" s="849"/>
      <c r="D1" s="849"/>
      <c r="E1" s="849"/>
      <c r="F1" s="849"/>
      <c r="G1" s="849"/>
      <c r="H1" s="849"/>
      <c r="I1" s="849"/>
      <c r="J1" s="849"/>
    </row>
    <row r="2" spans="1:10" ht="13.5" thickBot="1"/>
    <row r="3" spans="1:10" ht="26.1" customHeight="1">
      <c r="A3" s="444" t="s">
        <v>93</v>
      </c>
      <c r="B3" s="445" t="s">
        <v>94</v>
      </c>
      <c r="C3" s="445" t="s">
        <v>95</v>
      </c>
      <c r="D3" s="446" t="s">
        <v>141</v>
      </c>
      <c r="E3" s="447" t="s">
        <v>85</v>
      </c>
      <c r="I3" s="157" t="s">
        <v>24</v>
      </c>
    </row>
    <row r="4" spans="1:10" ht="25.5">
      <c r="A4" s="907" t="s">
        <v>142</v>
      </c>
      <c r="B4" s="669" t="s">
        <v>365</v>
      </c>
      <c r="C4" s="448"/>
      <c r="D4" s="449">
        <v>6</v>
      </c>
      <c r="E4" s="909"/>
      <c r="F4" s="912">
        <v>0</v>
      </c>
      <c r="G4" s="913">
        <v>3</v>
      </c>
      <c r="H4" s="914">
        <v>6</v>
      </c>
      <c r="I4" s="668"/>
    </row>
    <row r="5" spans="1:10" ht="38.25" customHeight="1">
      <c r="A5" s="907"/>
      <c r="B5" s="670" t="s">
        <v>366</v>
      </c>
      <c r="C5" s="448"/>
      <c r="D5" s="449">
        <v>3</v>
      </c>
      <c r="E5" s="910"/>
      <c r="F5" s="912"/>
      <c r="G5" s="913"/>
      <c r="H5" s="914"/>
      <c r="I5" s="668"/>
    </row>
    <row r="6" spans="1:10" ht="26.1" customHeight="1">
      <c r="A6" s="907"/>
      <c r="B6" s="448" t="s">
        <v>143</v>
      </c>
      <c r="C6" s="448"/>
      <c r="D6" s="449">
        <v>0</v>
      </c>
      <c r="E6" s="911"/>
      <c r="F6" s="912"/>
      <c r="G6" s="913"/>
      <c r="H6" s="914"/>
      <c r="I6" s="668"/>
    </row>
    <row r="7" spans="1:10" ht="26.1" customHeight="1">
      <c r="A7" s="907"/>
      <c r="B7" s="738" t="s">
        <v>144</v>
      </c>
      <c r="C7" s="738"/>
      <c r="D7" s="734" t="s">
        <v>145</v>
      </c>
      <c r="E7" s="450">
        <f>SUM(E4:E6)</f>
        <v>0</v>
      </c>
      <c r="I7" s="668"/>
    </row>
    <row r="8" spans="1:10" ht="26.1" customHeight="1">
      <c r="A8" s="907" t="s">
        <v>146</v>
      </c>
      <c r="B8" s="448" t="s">
        <v>147</v>
      </c>
      <c r="C8" s="451" t="s">
        <v>148</v>
      </c>
      <c r="D8" s="452">
        <v>3</v>
      </c>
      <c r="E8" s="453"/>
      <c r="F8" s="443">
        <v>0</v>
      </c>
      <c r="G8" s="443">
        <v>3</v>
      </c>
      <c r="I8" s="668"/>
    </row>
    <row r="9" spans="1:10" ht="26.1" customHeight="1">
      <c r="A9" s="907"/>
      <c r="B9" s="738" t="s">
        <v>149</v>
      </c>
      <c r="C9" s="738"/>
      <c r="D9" s="739" t="s">
        <v>150</v>
      </c>
      <c r="E9" s="450">
        <f>E8</f>
        <v>0</v>
      </c>
      <c r="I9" s="668"/>
    </row>
    <row r="10" spans="1:10" ht="26.1" customHeight="1">
      <c r="A10" s="907" t="s">
        <v>151</v>
      </c>
      <c r="B10" s="448" t="s">
        <v>152</v>
      </c>
      <c r="C10" s="448" t="s">
        <v>153</v>
      </c>
      <c r="D10" s="449">
        <v>2</v>
      </c>
      <c r="E10" s="453"/>
      <c r="F10" s="443">
        <v>0</v>
      </c>
      <c r="G10" s="443">
        <v>2</v>
      </c>
      <c r="I10" s="668"/>
    </row>
    <row r="11" spans="1:10" ht="26.1" customHeight="1">
      <c r="A11" s="907"/>
      <c r="B11" s="738" t="s">
        <v>154</v>
      </c>
      <c r="C11" s="738"/>
      <c r="D11" s="735" t="s">
        <v>155</v>
      </c>
      <c r="E11" s="450">
        <f>E10</f>
        <v>0</v>
      </c>
      <c r="I11" s="668"/>
    </row>
    <row r="12" spans="1:10" ht="26.1" customHeight="1">
      <c r="A12" s="907" t="s">
        <v>156</v>
      </c>
      <c r="B12" s="454" t="s">
        <v>157</v>
      </c>
      <c r="C12" s="448" t="s">
        <v>158</v>
      </c>
      <c r="D12" s="449">
        <v>2</v>
      </c>
      <c r="E12" s="453"/>
      <c r="F12" s="443">
        <v>0</v>
      </c>
      <c r="G12" s="443">
        <v>2</v>
      </c>
      <c r="I12" s="668"/>
    </row>
    <row r="13" spans="1:10" ht="26.1" customHeight="1">
      <c r="A13" s="907"/>
      <c r="B13" s="454" t="s">
        <v>159</v>
      </c>
      <c r="C13" s="448" t="s">
        <v>153</v>
      </c>
      <c r="D13" s="449">
        <v>2</v>
      </c>
      <c r="E13" s="453"/>
      <c r="F13" s="443">
        <v>0</v>
      </c>
      <c r="G13" s="443">
        <v>2</v>
      </c>
      <c r="I13" s="668"/>
    </row>
    <row r="14" spans="1:10" ht="26.1" customHeight="1">
      <c r="A14" s="907"/>
      <c r="B14" s="738" t="s">
        <v>160</v>
      </c>
      <c r="C14" s="738"/>
      <c r="D14" s="735" t="s">
        <v>161</v>
      </c>
      <c r="E14" s="450">
        <f>SUM(E12:E13)</f>
        <v>0</v>
      </c>
      <c r="I14" s="668"/>
    </row>
    <row r="15" spans="1:10" ht="26.1" customHeight="1" thickBot="1">
      <c r="A15" s="455" t="s">
        <v>31</v>
      </c>
      <c r="B15" s="456"/>
      <c r="C15" s="457"/>
      <c r="D15" s="456"/>
      <c r="E15" s="458">
        <f>IF(SUM(E7,E9,E11,E14)&lt;15,SUM(E7,E9,E11,E14),15)</f>
        <v>0</v>
      </c>
      <c r="I15" s="908"/>
    </row>
    <row r="16" spans="1:10">
      <c r="A16" s="459"/>
      <c r="I16" s="908"/>
    </row>
    <row r="17" spans="9:9">
      <c r="I17" s="209"/>
    </row>
    <row r="18" spans="9:9">
      <c r="I18" s="209"/>
    </row>
    <row r="19" spans="9:9">
      <c r="I19" s="209"/>
    </row>
    <row r="20" spans="9:9">
      <c r="I20" s="209"/>
    </row>
    <row r="21" spans="9:9">
      <c r="I21" s="209"/>
    </row>
    <row r="22" spans="9:9">
      <c r="I22" s="209"/>
    </row>
    <row r="23" spans="9:9">
      <c r="I23" s="209"/>
    </row>
    <row r="24" spans="9:9">
      <c r="I24" s="209"/>
    </row>
    <row r="25" spans="9:9">
      <c r="I25" s="209"/>
    </row>
    <row r="26" spans="9:9">
      <c r="I26" s="209"/>
    </row>
    <row r="27" spans="9:9" ht="15">
      <c r="I27" s="200"/>
    </row>
  </sheetData>
  <sheetProtection algorithmName="SHA-512" hashValue="bMVu5/G3oUIo16dMB8R29jq4ZvOsXoGgUcS9GvnsPuJkR/keuMBRZ6n/tNYTo0XL+WkrWBuHoW9uyPAwhFI9sw==" saltValue="GtAS0OsUNlFSmHQA9IE4HA==" spinCount="100000" sheet="1" selectLockedCells="1"/>
  <mergeCells count="10">
    <mergeCell ref="A8:A9"/>
    <mergeCell ref="A10:A11"/>
    <mergeCell ref="A12:A14"/>
    <mergeCell ref="I15:I16"/>
    <mergeCell ref="A1:J1"/>
    <mergeCell ref="A4:A7"/>
    <mergeCell ref="E4:E6"/>
    <mergeCell ref="F4:F6"/>
    <mergeCell ref="G4:G6"/>
    <mergeCell ref="H4:H6"/>
  </mergeCells>
  <dataValidations count="5">
    <dataValidation type="list" allowBlank="1" showInputMessage="1" showErrorMessage="1" sqref="E8">
      <formula1>$F$8:$G$8</formula1>
    </dataValidation>
    <dataValidation type="list" allowBlank="1" showInputMessage="1" showErrorMessage="1" sqref="E10">
      <formula1>$F$10:$G$10</formula1>
    </dataValidation>
    <dataValidation type="list" allowBlank="1" showInputMessage="1" showErrorMessage="1" sqref="E12">
      <formula1>$F$12:$G$12</formula1>
    </dataValidation>
    <dataValidation type="list" allowBlank="1" showInputMessage="1" showErrorMessage="1" sqref="E13">
      <formula1>$F$13:$G$13</formula1>
    </dataValidation>
    <dataValidation type="list" allowBlank="1" showInputMessage="1" showErrorMessage="1" sqref="E4:E6">
      <formula1>$F$4:$H$4</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zoomScaleNormal="100" workbookViewId="0">
      <selection activeCell="F4" sqref="F4"/>
    </sheetView>
  </sheetViews>
  <sheetFormatPr baseColWidth="10" defaultColWidth="11.42578125" defaultRowHeight="12.75"/>
  <cols>
    <col min="1" max="1" width="37.42578125" style="198" customWidth="1"/>
    <col min="2" max="2" width="78.7109375" style="198" customWidth="1"/>
    <col min="3" max="3" width="10.28515625" style="198" customWidth="1"/>
    <col min="4" max="4" width="11.7109375" style="472" customWidth="1"/>
    <col min="5" max="5" width="14.28515625" style="198" hidden="1" customWidth="1"/>
    <col min="6" max="6" width="30.7109375" style="198" customWidth="1"/>
    <col min="7" max="16384" width="11.42578125" style="198"/>
  </cols>
  <sheetData>
    <row r="1" spans="1:6" ht="33.75" customHeight="1">
      <c r="A1" s="849" t="s">
        <v>162</v>
      </c>
      <c r="B1" s="849"/>
      <c r="C1" s="849"/>
      <c r="D1" s="849"/>
    </row>
    <row r="2" spans="1:6" ht="7.5" customHeight="1" thickBot="1">
      <c r="A2" s="210"/>
      <c r="B2" s="210"/>
      <c r="C2" s="210"/>
      <c r="D2" s="221"/>
    </row>
    <row r="3" spans="1:6" s="171" customFormat="1" ht="41.25" customHeight="1">
      <c r="A3" s="460" t="s">
        <v>84</v>
      </c>
      <c r="B3" s="461" t="s">
        <v>136</v>
      </c>
      <c r="C3" s="462" t="s">
        <v>163</v>
      </c>
      <c r="D3" s="463" t="s">
        <v>40</v>
      </c>
      <c r="F3" s="464" t="s">
        <v>24</v>
      </c>
    </row>
    <row r="4" spans="1:6" ht="44.25" customHeight="1">
      <c r="A4" s="422" t="s">
        <v>339</v>
      </c>
      <c r="B4" s="263" t="s">
        <v>367</v>
      </c>
      <c r="C4" s="467">
        <v>5</v>
      </c>
      <c r="D4" s="288"/>
      <c r="E4" s="171">
        <v>0</v>
      </c>
      <c r="F4" s="666"/>
    </row>
    <row r="5" spans="1:6" ht="44.25" customHeight="1">
      <c r="A5" s="422" t="s">
        <v>340</v>
      </c>
      <c r="B5" s="466" t="s">
        <v>341</v>
      </c>
      <c r="C5" s="467">
        <v>7</v>
      </c>
      <c r="D5" s="288"/>
      <c r="E5" s="468">
        <v>5</v>
      </c>
      <c r="F5" s="666"/>
    </row>
    <row r="6" spans="1:6" ht="24.95" customHeight="1" thickBot="1">
      <c r="A6" s="898" t="s">
        <v>31</v>
      </c>
      <c r="B6" s="899"/>
      <c r="C6" s="469"/>
      <c r="D6" s="470">
        <f>IF(SUM(D4:D4)&gt;10,10,SUM(D4:D4))</f>
        <v>0</v>
      </c>
      <c r="E6" s="468">
        <v>0</v>
      </c>
      <c r="F6" s="167"/>
    </row>
    <row r="7" spans="1:6" ht="24.95" customHeight="1">
      <c r="A7" s="904"/>
      <c r="B7" s="904"/>
      <c r="C7" s="471"/>
      <c r="E7" s="198">
        <v>7</v>
      </c>
    </row>
    <row r="8" spans="1:6" ht="70.5" customHeight="1">
      <c r="A8" s="915"/>
      <c r="B8" s="916"/>
      <c r="C8"/>
    </row>
    <row r="9" spans="1:6" ht="38.25" customHeight="1"/>
    <row r="10" spans="1:6" ht="24.95" customHeight="1"/>
    <row r="11" spans="1:6" s="167" customFormat="1" ht="32.25" customHeight="1">
      <c r="A11" s="198"/>
      <c r="B11" s="198"/>
      <c r="C11" s="198"/>
      <c r="D11" s="472"/>
      <c r="E11" s="198"/>
      <c r="F11" s="198"/>
    </row>
    <row r="12" spans="1:6" ht="14.25" customHeight="1"/>
  </sheetData>
  <sheetProtection algorithmName="SHA-512" hashValue="Cg6BX2S3aMC5cyi19RYwx8RDMMvKM3Tco/zB9FaD6RBs91+tt4q37Z95PWAtwOC9zd3J/dpFJsGauPjU8vKYRA==" saltValue="YDGvaGy4VPQCjqnE+yPboA==" spinCount="100000" sheet="1" selectLockedCells="1"/>
  <mergeCells count="4">
    <mergeCell ref="A1:D1"/>
    <mergeCell ref="A6:B6"/>
    <mergeCell ref="A7:B7"/>
    <mergeCell ref="A8:B8"/>
  </mergeCells>
  <dataValidations count="2">
    <dataValidation type="list" allowBlank="1" showInputMessage="1" showErrorMessage="1" errorTitle="Falscher Wert!" error="Bitte geben Sie die Zahl 0 oder 1 ein." sqref="D4">
      <formula1>$E$4:$E$5</formula1>
    </dataValidation>
    <dataValidation type="list" allowBlank="1" showInputMessage="1" showErrorMessage="1" errorTitle="Falscher Wert!" error="Bitte geben Sie die Zahl 0 oder 1 ein." sqref="D5">
      <formula1>$E$6:$E$7</formula1>
    </dataValidation>
  </dataValidations>
  <printOptions horizontalCentered="1"/>
  <pageMargins left="0.59055118110236227" right="0.59055118110236227" top="0.59055118110236227" bottom="0.59055118110236227" header="0.31496062992125984" footer="0.31496062992125984"/>
  <pageSetup paperSize="9"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H155"/>
  <sheetViews>
    <sheetView showGridLines="0" topLeftCell="B1" zoomScaleNormal="100" workbookViewId="0">
      <pane ySplit="2" topLeftCell="A38" activePane="bottomLeft" state="frozen"/>
      <selection activeCell="D2" sqref="D2:H2"/>
      <selection pane="bottomLeft" activeCell="E64" sqref="E64"/>
    </sheetView>
  </sheetViews>
  <sheetFormatPr baseColWidth="10" defaultColWidth="11.42578125" defaultRowHeight="15"/>
  <cols>
    <col min="1" max="1" width="11.42578125" style="185"/>
    <col min="2" max="2" width="51" style="185" bestFit="1" customWidth="1"/>
    <col min="3" max="4" width="11.42578125" style="166"/>
    <col min="5" max="5" width="31.42578125" style="174" customWidth="1"/>
    <col min="6" max="6" width="11.42578125" style="174"/>
    <col min="7" max="7" width="65.7109375" style="181" customWidth="1"/>
    <col min="8" max="8" width="2.7109375" style="181" customWidth="1"/>
    <col min="9" max="16384" width="11.42578125" style="181"/>
  </cols>
  <sheetData>
    <row r="1" spans="1:8" ht="15.75">
      <c r="A1" s="849" t="s">
        <v>164</v>
      </c>
      <c r="B1" s="849"/>
      <c r="C1" s="849"/>
      <c r="H1" s="168"/>
    </row>
    <row r="2" spans="1:8" ht="15.75">
      <c r="A2" s="201"/>
      <c r="B2" s="201"/>
      <c r="C2" s="201"/>
      <c r="H2" s="168"/>
    </row>
    <row r="3" spans="1:8" ht="15.75" thickBot="1">
      <c r="H3" s="168"/>
    </row>
    <row r="4" spans="1:8" ht="43.5">
      <c r="A4" s="919" t="s">
        <v>382</v>
      </c>
      <c r="B4" s="920"/>
      <c r="C4" s="921"/>
      <c r="D4" s="364"/>
      <c r="E4" s="365" t="s">
        <v>165</v>
      </c>
      <c r="F4" s="366"/>
      <c r="G4" s="179" t="s">
        <v>166</v>
      </c>
      <c r="H4" s="168"/>
    </row>
    <row r="5" spans="1:8">
      <c r="A5" s="685" t="s">
        <v>167</v>
      </c>
      <c r="B5" s="686"/>
      <c r="C5" s="367">
        <v>1.05</v>
      </c>
      <c r="D5" s="368"/>
      <c r="E5" s="369"/>
      <c r="F5" s="370"/>
      <c r="G5" s="691" t="s">
        <v>383</v>
      </c>
      <c r="H5" s="168"/>
    </row>
    <row r="6" spans="1:8">
      <c r="A6" s="371"/>
      <c r="B6" s="170" t="s">
        <v>384</v>
      </c>
      <c r="C6" s="372"/>
      <c r="D6" s="367">
        <v>1</v>
      </c>
      <c r="E6" s="119"/>
      <c r="F6" s="373">
        <f>E6*D6*$C$5</f>
        <v>0</v>
      </c>
      <c r="G6" s="692"/>
      <c r="H6" s="168"/>
    </row>
    <row r="7" spans="1:8">
      <c r="A7" s="374"/>
      <c r="B7" s="170" t="s">
        <v>169</v>
      </c>
      <c r="C7" s="375"/>
      <c r="D7" s="367">
        <v>0</v>
      </c>
      <c r="E7" s="119"/>
      <c r="F7" s="373">
        <f>E7*D7*$C$5</f>
        <v>0</v>
      </c>
      <c r="G7" s="692"/>
      <c r="H7" s="168"/>
    </row>
    <row r="8" spans="1:8">
      <c r="A8" s="374"/>
      <c r="B8" s="170" t="s">
        <v>170</v>
      </c>
      <c r="C8" s="375"/>
      <c r="D8" s="367">
        <v>0</v>
      </c>
      <c r="E8" s="119"/>
      <c r="F8" s="373">
        <f>E8*D8*$C$5</f>
        <v>0</v>
      </c>
      <c r="G8" s="692"/>
      <c r="H8" s="168"/>
    </row>
    <row r="9" spans="1:8">
      <c r="A9" s="376"/>
      <c r="B9" s="170" t="s">
        <v>171</v>
      </c>
      <c r="C9" s="377"/>
      <c r="D9" s="367">
        <v>0</v>
      </c>
      <c r="E9" s="119"/>
      <c r="F9" s="373">
        <f>E9*D9*$C$5</f>
        <v>0</v>
      </c>
      <c r="G9" s="692"/>
      <c r="H9" s="168"/>
    </row>
    <row r="10" spans="1:8">
      <c r="A10" s="685" t="s">
        <v>172</v>
      </c>
      <c r="B10" s="686"/>
      <c r="C10" s="378">
        <v>0</v>
      </c>
      <c r="D10" s="379"/>
      <c r="E10" s="369"/>
      <c r="F10" s="370"/>
      <c r="G10" s="692"/>
      <c r="H10" s="168"/>
    </row>
    <row r="11" spans="1:8">
      <c r="A11" s="380"/>
      <c r="B11" s="184" t="s">
        <v>173</v>
      </c>
      <c r="C11" s="372"/>
      <c r="D11" s="367">
        <v>1</v>
      </c>
      <c r="E11" s="119"/>
      <c r="F11" s="373">
        <f>E11*D11*$C$10</f>
        <v>0</v>
      </c>
      <c r="G11" s="692"/>
      <c r="H11" s="168"/>
    </row>
    <row r="12" spans="1:8">
      <c r="A12" s="381"/>
      <c r="B12" s="184" t="s">
        <v>174</v>
      </c>
      <c r="C12" s="375"/>
      <c r="D12" s="367">
        <v>0</v>
      </c>
      <c r="E12" s="119"/>
      <c r="F12" s="373">
        <f t="shared" ref="F12:F15" si="0">E12*D12*$C$10</f>
        <v>0</v>
      </c>
      <c r="G12" s="692"/>
      <c r="H12" s="168"/>
    </row>
    <row r="13" spans="1:8">
      <c r="A13" s="381"/>
      <c r="B13" s="184" t="s">
        <v>175</v>
      </c>
      <c r="C13" s="375"/>
      <c r="D13" s="367">
        <v>0</v>
      </c>
      <c r="E13" s="119"/>
      <c r="F13" s="373">
        <f t="shared" si="0"/>
        <v>0</v>
      </c>
      <c r="G13" s="692"/>
      <c r="H13" s="168"/>
    </row>
    <row r="14" spans="1:8">
      <c r="A14" s="381"/>
      <c r="B14" s="184" t="s">
        <v>176</v>
      </c>
      <c r="C14" s="375"/>
      <c r="D14" s="367">
        <v>0</v>
      </c>
      <c r="E14" s="119"/>
      <c r="F14" s="373">
        <f t="shared" si="0"/>
        <v>0</v>
      </c>
      <c r="G14" s="692"/>
      <c r="H14" s="168"/>
    </row>
    <row r="15" spans="1:8">
      <c r="A15" s="382"/>
      <c r="B15" s="184" t="s">
        <v>177</v>
      </c>
      <c r="C15" s="377"/>
      <c r="D15" s="367">
        <v>0</v>
      </c>
      <c r="E15" s="119"/>
      <c r="F15" s="373">
        <f t="shared" si="0"/>
        <v>0</v>
      </c>
      <c r="G15" s="693"/>
      <c r="H15" s="168"/>
    </row>
    <row r="16" spans="1:8">
      <c r="A16" s="685" t="s">
        <v>178</v>
      </c>
      <c r="B16" s="686"/>
      <c r="C16" s="383">
        <v>0</v>
      </c>
      <c r="D16" s="384"/>
      <c r="E16" s="369"/>
      <c r="F16" s="370"/>
      <c r="G16" s="693"/>
      <c r="H16" s="168"/>
    </row>
    <row r="17" spans="1:8">
      <c r="A17" s="380"/>
      <c r="B17" s="184" t="s">
        <v>179</v>
      </c>
      <c r="C17" s="372"/>
      <c r="D17" s="367">
        <v>1</v>
      </c>
      <c r="E17" s="119"/>
      <c r="F17" s="373">
        <f>E17*D17*$C$16</f>
        <v>0</v>
      </c>
      <c r="G17" s="693"/>
      <c r="H17" s="168"/>
    </row>
    <row r="18" spans="1:8">
      <c r="A18" s="381"/>
      <c r="B18" s="184" t="s">
        <v>180</v>
      </c>
      <c r="C18" s="375"/>
      <c r="D18" s="367">
        <v>0</v>
      </c>
      <c r="E18" s="119"/>
      <c r="F18" s="373">
        <f t="shared" ref="F18:F34" si="1">E18*D18*$C$16</f>
        <v>0</v>
      </c>
      <c r="G18" s="693"/>
      <c r="H18" s="168"/>
    </row>
    <row r="19" spans="1:8">
      <c r="A19" s="381"/>
      <c r="B19" s="170" t="s">
        <v>181</v>
      </c>
      <c r="C19" s="375"/>
      <c r="D19" s="385">
        <v>0</v>
      </c>
      <c r="E19" s="119"/>
      <c r="F19" s="373">
        <f t="shared" si="1"/>
        <v>0</v>
      </c>
      <c r="G19" s="693"/>
      <c r="H19" s="168"/>
    </row>
    <row r="20" spans="1:8">
      <c r="A20" s="381"/>
      <c r="B20" s="188" t="s">
        <v>182</v>
      </c>
      <c r="C20" s="375"/>
      <c r="D20" s="385">
        <v>0</v>
      </c>
      <c r="E20" s="119"/>
      <c r="F20" s="373">
        <f t="shared" si="1"/>
        <v>0</v>
      </c>
      <c r="G20" s="693"/>
      <c r="H20" s="168"/>
    </row>
    <row r="21" spans="1:8">
      <c r="A21" s="381"/>
      <c r="B21" s="188" t="s">
        <v>183</v>
      </c>
      <c r="C21" s="375"/>
      <c r="D21" s="385">
        <v>0</v>
      </c>
      <c r="E21" s="119"/>
      <c r="F21" s="373">
        <f t="shared" si="1"/>
        <v>0</v>
      </c>
      <c r="G21" s="693"/>
      <c r="H21" s="168"/>
    </row>
    <row r="22" spans="1:8">
      <c r="A22" s="381"/>
      <c r="B22" s="188" t="s">
        <v>184</v>
      </c>
      <c r="C22" s="375"/>
      <c r="D22" s="385">
        <v>0</v>
      </c>
      <c r="E22" s="119"/>
      <c r="F22" s="373">
        <f t="shared" si="1"/>
        <v>0</v>
      </c>
      <c r="G22" s="693"/>
      <c r="H22" s="168"/>
    </row>
    <row r="23" spans="1:8">
      <c r="A23" s="381"/>
      <c r="B23" s="188" t="s">
        <v>185</v>
      </c>
      <c r="C23" s="375"/>
      <c r="D23" s="385">
        <v>0</v>
      </c>
      <c r="E23" s="119"/>
      <c r="F23" s="373">
        <f t="shared" si="1"/>
        <v>0</v>
      </c>
      <c r="G23" s="693"/>
      <c r="H23" s="168"/>
    </row>
    <row r="24" spans="1:8">
      <c r="A24" s="381"/>
      <c r="B24" s="188" t="s">
        <v>186</v>
      </c>
      <c r="C24" s="375"/>
      <c r="D24" s="385">
        <v>0</v>
      </c>
      <c r="E24" s="119"/>
      <c r="F24" s="373">
        <f t="shared" si="1"/>
        <v>0</v>
      </c>
      <c r="G24" s="693"/>
      <c r="H24" s="168"/>
    </row>
    <row r="25" spans="1:8">
      <c r="A25" s="381"/>
      <c r="B25" s="188" t="s">
        <v>187</v>
      </c>
      <c r="C25" s="375"/>
      <c r="D25" s="385">
        <v>0</v>
      </c>
      <c r="E25" s="119"/>
      <c r="F25" s="373">
        <f t="shared" si="1"/>
        <v>0</v>
      </c>
      <c r="G25" s="693"/>
      <c r="H25" s="168"/>
    </row>
    <row r="26" spans="1:8">
      <c r="A26" s="381"/>
      <c r="B26" s="188" t="s">
        <v>188</v>
      </c>
      <c r="C26" s="375"/>
      <c r="D26" s="385">
        <v>0</v>
      </c>
      <c r="E26" s="119"/>
      <c r="F26" s="373">
        <f t="shared" si="1"/>
        <v>0</v>
      </c>
      <c r="G26" s="693"/>
      <c r="H26" s="168"/>
    </row>
    <row r="27" spans="1:8">
      <c r="A27" s="381"/>
      <c r="B27" s="188" t="s">
        <v>189</v>
      </c>
      <c r="C27" s="375"/>
      <c r="D27" s="385">
        <v>0</v>
      </c>
      <c r="E27" s="119"/>
      <c r="F27" s="373">
        <f t="shared" si="1"/>
        <v>0</v>
      </c>
      <c r="G27" s="693"/>
      <c r="H27" s="168"/>
    </row>
    <row r="28" spans="1:8">
      <c r="A28" s="381"/>
      <c r="B28" s="188" t="s">
        <v>190</v>
      </c>
      <c r="C28" s="375"/>
      <c r="D28" s="385">
        <v>0</v>
      </c>
      <c r="E28" s="119"/>
      <c r="F28" s="373">
        <f t="shared" si="1"/>
        <v>0</v>
      </c>
      <c r="G28" s="693"/>
      <c r="H28" s="168"/>
    </row>
    <row r="29" spans="1:8">
      <c r="A29" s="381"/>
      <c r="B29" s="188" t="s">
        <v>191</v>
      </c>
      <c r="C29" s="375"/>
      <c r="D29" s="385">
        <v>0</v>
      </c>
      <c r="E29" s="119"/>
      <c r="F29" s="373">
        <f t="shared" si="1"/>
        <v>0</v>
      </c>
      <c r="G29" s="693"/>
      <c r="H29" s="168"/>
    </row>
    <row r="30" spans="1:8">
      <c r="A30" s="381"/>
      <c r="B30" s="188" t="s">
        <v>192</v>
      </c>
      <c r="C30" s="375"/>
      <c r="D30" s="385">
        <v>0</v>
      </c>
      <c r="E30" s="119"/>
      <c r="F30" s="373">
        <f t="shared" si="1"/>
        <v>0</v>
      </c>
      <c r="G30" s="693"/>
      <c r="H30" s="168"/>
    </row>
    <row r="31" spans="1:8">
      <c r="A31" s="381"/>
      <c r="B31" s="188" t="s">
        <v>193</v>
      </c>
      <c r="C31" s="375"/>
      <c r="D31" s="385">
        <v>0</v>
      </c>
      <c r="E31" s="119"/>
      <c r="F31" s="373">
        <f t="shared" si="1"/>
        <v>0</v>
      </c>
      <c r="G31" s="693"/>
      <c r="H31" s="168"/>
    </row>
    <row r="32" spans="1:8">
      <c r="A32" s="381"/>
      <c r="B32" s="188" t="s">
        <v>194</v>
      </c>
      <c r="C32" s="375"/>
      <c r="D32" s="385">
        <v>0</v>
      </c>
      <c r="E32" s="119"/>
      <c r="F32" s="373">
        <f t="shared" si="1"/>
        <v>0</v>
      </c>
      <c r="G32" s="693"/>
      <c r="H32" s="168"/>
    </row>
    <row r="33" spans="1:8">
      <c r="A33" s="381"/>
      <c r="B33" s="188" t="s">
        <v>195</v>
      </c>
      <c r="C33" s="375"/>
      <c r="D33" s="385">
        <v>0</v>
      </c>
      <c r="E33" s="119"/>
      <c r="F33" s="373">
        <f t="shared" si="1"/>
        <v>0</v>
      </c>
      <c r="G33" s="693"/>
      <c r="H33" s="168"/>
    </row>
    <row r="34" spans="1:8">
      <c r="A34" s="382"/>
      <c r="B34" s="184" t="s">
        <v>196</v>
      </c>
      <c r="C34" s="377"/>
      <c r="D34" s="367">
        <v>0</v>
      </c>
      <c r="E34" s="119"/>
      <c r="F34" s="373">
        <f t="shared" si="1"/>
        <v>0</v>
      </c>
      <c r="G34" s="693"/>
      <c r="H34" s="168"/>
    </row>
    <row r="35" spans="1:8">
      <c r="A35" s="685" t="s">
        <v>197</v>
      </c>
      <c r="B35" s="686"/>
      <c r="C35" s="378">
        <v>0</v>
      </c>
      <c r="D35" s="379"/>
      <c r="E35" s="369"/>
      <c r="F35" s="370"/>
      <c r="G35" s="693"/>
      <c r="H35" s="168"/>
    </row>
    <row r="36" spans="1:8">
      <c r="A36" s="380"/>
      <c r="B36" s="184" t="s">
        <v>198</v>
      </c>
      <c r="C36" s="372"/>
      <c r="D36" s="367">
        <v>1</v>
      </c>
      <c r="E36" s="119"/>
      <c r="F36" s="373">
        <f>E36*D36*$C$35</f>
        <v>0</v>
      </c>
      <c r="G36" s="693"/>
      <c r="H36" s="168"/>
    </row>
    <row r="37" spans="1:8">
      <c r="A37" s="382"/>
      <c r="B37" s="184" t="s">
        <v>199</v>
      </c>
      <c r="C37" s="377"/>
      <c r="D37" s="367">
        <v>0</v>
      </c>
      <c r="E37" s="119"/>
      <c r="F37" s="373">
        <f>E37*D37*$C$35</f>
        <v>0</v>
      </c>
      <c r="G37" s="693"/>
      <c r="H37" s="175"/>
    </row>
    <row r="38" spans="1:8" s="169" customFormat="1" ht="24.95" customHeight="1" thickBot="1">
      <c r="A38" s="687" t="s">
        <v>31</v>
      </c>
      <c r="B38" s="688"/>
      <c r="C38" s="312">
        <f>SUM(C5:C37)</f>
        <v>1.05</v>
      </c>
      <c r="D38" s="689" t="s">
        <v>200</v>
      </c>
      <c r="E38" s="690"/>
      <c r="F38" s="313">
        <f>IF((SUM(F6:F37))&lt;=5,ROUND(SUM(F6:F37)*340/5,0),340)</f>
        <v>0</v>
      </c>
      <c r="G38" s="315" t="str">
        <f>IF(F38&lt;295*0.25,"sehr geringer Erfüllungsgrad", IF(F38&lt;295*0.45,"geringer Erfüllungsgrad",IF(F38&lt;295*0.65,"mittlerer Erfüllungsgrad", IF(F38&lt;295*0.85,"hoher Erfüllungsgrad", IF(F38&gt;=295*0.85,"sehr hoher Erfüllungsgrad",)))))</f>
        <v>sehr geringer Erfüllungsgrad</v>
      </c>
      <c r="H38" s="314"/>
    </row>
    <row r="39" spans="1:8">
      <c r="H39" s="168"/>
    </row>
    <row r="40" spans="1:8">
      <c r="H40" s="168"/>
    </row>
    <row r="41" spans="1:8">
      <c r="H41" s="168"/>
    </row>
    <row r="42" spans="1:8" ht="15.75" thickBot="1">
      <c r="H42" s="168"/>
    </row>
    <row r="43" spans="1:8" ht="43.5">
      <c r="A43" s="922" t="s">
        <v>379</v>
      </c>
      <c r="B43" s="923"/>
      <c r="C43" s="924"/>
      <c r="D43" s="364"/>
      <c r="E43" s="365" t="s">
        <v>165</v>
      </c>
      <c r="F43" s="366"/>
      <c r="G43" s="179" t="s">
        <v>166</v>
      </c>
      <c r="H43" s="168"/>
    </row>
    <row r="44" spans="1:8">
      <c r="A44" s="685" t="s">
        <v>167</v>
      </c>
      <c r="B44" s="686"/>
      <c r="C44" s="367">
        <v>1.05</v>
      </c>
      <c r="D44" s="368"/>
      <c r="E44" s="369"/>
      <c r="F44" s="370"/>
      <c r="G44" s="309"/>
      <c r="H44" s="168"/>
    </row>
    <row r="45" spans="1:8">
      <c r="A45" s="371"/>
      <c r="B45" s="170" t="s">
        <v>168</v>
      </c>
      <c r="C45" s="372"/>
      <c r="D45" s="367">
        <v>1</v>
      </c>
      <c r="E45" s="119"/>
      <c r="F45" s="373">
        <f>E45*D45*$C$44</f>
        <v>0</v>
      </c>
      <c r="G45" s="310"/>
      <c r="H45" s="168"/>
    </row>
    <row r="46" spans="1:8">
      <c r="A46" s="374"/>
      <c r="B46" s="170" t="s">
        <v>169</v>
      </c>
      <c r="C46" s="375"/>
      <c r="D46" s="367">
        <v>0.2</v>
      </c>
      <c r="E46" s="119"/>
      <c r="F46" s="373">
        <f>E46*D46*$C$44</f>
        <v>0</v>
      </c>
      <c r="G46" s="310"/>
      <c r="H46" s="168"/>
    </row>
    <row r="47" spans="1:8">
      <c r="A47" s="374"/>
      <c r="B47" s="170" t="s">
        <v>170</v>
      </c>
      <c r="C47" s="375"/>
      <c r="D47" s="367">
        <v>0</v>
      </c>
      <c r="E47" s="119"/>
      <c r="F47" s="373">
        <f>E47*D47*$C$44</f>
        <v>0</v>
      </c>
      <c r="G47" s="310"/>
      <c r="H47" s="168"/>
    </row>
    <row r="48" spans="1:8">
      <c r="A48" s="376"/>
      <c r="B48" s="170" t="s">
        <v>171</v>
      </c>
      <c r="C48" s="377"/>
      <c r="D48" s="367">
        <v>0</v>
      </c>
      <c r="E48" s="119"/>
      <c r="F48" s="373">
        <f>E48*D48*$C$44</f>
        <v>0</v>
      </c>
      <c r="G48" s="310"/>
      <c r="H48" s="168"/>
    </row>
    <row r="49" spans="1:8">
      <c r="A49" s="685" t="s">
        <v>172</v>
      </c>
      <c r="B49" s="686"/>
      <c r="C49" s="378">
        <v>0</v>
      </c>
      <c r="D49" s="379"/>
      <c r="E49" s="369"/>
      <c r="F49" s="370"/>
      <c r="G49" s="310"/>
      <c r="H49" s="168"/>
    </row>
    <row r="50" spans="1:8">
      <c r="A50" s="380"/>
      <c r="B50" s="184" t="s">
        <v>173</v>
      </c>
      <c r="C50" s="372"/>
      <c r="D50" s="367">
        <v>1</v>
      </c>
      <c r="E50" s="119"/>
      <c r="F50" s="373">
        <f>E50*D50*$C$49</f>
        <v>0</v>
      </c>
      <c r="G50" s="310"/>
      <c r="H50" s="168"/>
    </row>
    <row r="51" spans="1:8">
      <c r="A51" s="381"/>
      <c r="B51" s="184" t="s">
        <v>174</v>
      </c>
      <c r="C51" s="375"/>
      <c r="D51" s="367">
        <v>0</v>
      </c>
      <c r="E51" s="119"/>
      <c r="F51" s="373">
        <f>E51*D51*$C$49</f>
        <v>0</v>
      </c>
      <c r="G51" s="310"/>
      <c r="H51" s="168"/>
    </row>
    <row r="52" spans="1:8">
      <c r="A52" s="381"/>
      <c r="B52" s="184" t="s">
        <v>175</v>
      </c>
      <c r="C52" s="375"/>
      <c r="D52" s="367">
        <v>0</v>
      </c>
      <c r="E52" s="119"/>
      <c r="F52" s="373">
        <f>E52*D52*$C$49</f>
        <v>0</v>
      </c>
      <c r="G52" s="310"/>
      <c r="H52" s="168"/>
    </row>
    <row r="53" spans="1:8">
      <c r="A53" s="381"/>
      <c r="B53" s="184" t="s">
        <v>176</v>
      </c>
      <c r="C53" s="375"/>
      <c r="D53" s="367">
        <v>0</v>
      </c>
      <c r="E53" s="119"/>
      <c r="F53" s="373">
        <f>E53*D53*$C$49</f>
        <v>0</v>
      </c>
      <c r="G53" s="310"/>
      <c r="H53" s="168"/>
    </row>
    <row r="54" spans="1:8">
      <c r="A54" s="382"/>
      <c r="B54" s="184" t="s">
        <v>177</v>
      </c>
      <c r="C54" s="377"/>
      <c r="D54" s="367">
        <v>0</v>
      </c>
      <c r="E54" s="119"/>
      <c r="F54" s="373">
        <f>E54*D54*$C$49</f>
        <v>0</v>
      </c>
      <c r="G54" s="311"/>
      <c r="H54" s="168"/>
    </row>
    <row r="55" spans="1:8">
      <c r="A55" s="685" t="s">
        <v>178</v>
      </c>
      <c r="B55" s="686"/>
      <c r="C55" s="383">
        <v>0</v>
      </c>
      <c r="D55" s="384"/>
      <c r="E55" s="369"/>
      <c r="F55" s="370"/>
      <c r="G55" s="311"/>
      <c r="H55" s="168"/>
    </row>
    <row r="56" spans="1:8">
      <c r="A56" s="380"/>
      <c r="B56" s="184" t="s">
        <v>179</v>
      </c>
      <c r="C56" s="372"/>
      <c r="D56" s="367">
        <v>1</v>
      </c>
      <c r="E56" s="119"/>
      <c r="F56" s="373">
        <f t="shared" ref="F56:F73" si="2">E56*D56*$C$55</f>
        <v>0</v>
      </c>
      <c r="G56" s="311"/>
      <c r="H56" s="168"/>
    </row>
    <row r="57" spans="1:8">
      <c r="A57" s="381"/>
      <c r="B57" s="184" t="s">
        <v>180</v>
      </c>
      <c r="C57" s="375"/>
      <c r="D57" s="367">
        <v>0</v>
      </c>
      <c r="E57" s="119"/>
      <c r="F57" s="373">
        <f t="shared" si="2"/>
        <v>0</v>
      </c>
      <c r="G57" s="311"/>
      <c r="H57" s="168"/>
    </row>
    <row r="58" spans="1:8">
      <c r="A58" s="381"/>
      <c r="B58" s="170" t="s">
        <v>181</v>
      </c>
      <c r="C58" s="375"/>
      <c r="D58" s="385">
        <v>0</v>
      </c>
      <c r="E58" s="119"/>
      <c r="F58" s="373">
        <f t="shared" si="2"/>
        <v>0</v>
      </c>
      <c r="G58" s="311"/>
      <c r="H58" s="168"/>
    </row>
    <row r="59" spans="1:8">
      <c r="A59" s="381"/>
      <c r="B59" s="188" t="s">
        <v>182</v>
      </c>
      <c r="C59" s="375"/>
      <c r="D59" s="385">
        <v>0</v>
      </c>
      <c r="E59" s="119"/>
      <c r="F59" s="373">
        <f t="shared" si="2"/>
        <v>0</v>
      </c>
      <c r="G59" s="311"/>
      <c r="H59" s="168"/>
    </row>
    <row r="60" spans="1:8">
      <c r="A60" s="381"/>
      <c r="B60" s="188" t="s">
        <v>183</v>
      </c>
      <c r="C60" s="375"/>
      <c r="D60" s="385">
        <v>0</v>
      </c>
      <c r="E60" s="119"/>
      <c r="F60" s="373">
        <f t="shared" si="2"/>
        <v>0</v>
      </c>
      <c r="G60" s="311"/>
      <c r="H60" s="168"/>
    </row>
    <row r="61" spans="1:8">
      <c r="A61" s="381"/>
      <c r="B61" s="188" t="s">
        <v>184</v>
      </c>
      <c r="C61" s="375"/>
      <c r="D61" s="385">
        <v>0</v>
      </c>
      <c r="E61" s="119"/>
      <c r="F61" s="373">
        <f t="shared" si="2"/>
        <v>0</v>
      </c>
      <c r="G61" s="311"/>
      <c r="H61" s="168"/>
    </row>
    <row r="62" spans="1:8">
      <c r="A62" s="381"/>
      <c r="B62" s="188" t="s">
        <v>185</v>
      </c>
      <c r="C62" s="375"/>
      <c r="D62" s="385">
        <v>0</v>
      </c>
      <c r="E62" s="119"/>
      <c r="F62" s="373">
        <f t="shared" si="2"/>
        <v>0</v>
      </c>
      <c r="G62" s="311"/>
      <c r="H62" s="168"/>
    </row>
    <row r="63" spans="1:8">
      <c r="A63" s="381"/>
      <c r="B63" s="188" t="s">
        <v>186</v>
      </c>
      <c r="C63" s="375"/>
      <c r="D63" s="385">
        <v>0</v>
      </c>
      <c r="E63" s="119"/>
      <c r="F63" s="373">
        <f t="shared" si="2"/>
        <v>0</v>
      </c>
      <c r="G63" s="311"/>
      <c r="H63" s="168"/>
    </row>
    <row r="64" spans="1:8">
      <c r="A64" s="381"/>
      <c r="B64" s="188" t="s">
        <v>187</v>
      </c>
      <c r="C64" s="375"/>
      <c r="D64" s="385">
        <v>0</v>
      </c>
      <c r="E64" s="119"/>
      <c r="F64" s="373">
        <f t="shared" si="2"/>
        <v>0</v>
      </c>
      <c r="G64" s="311"/>
      <c r="H64" s="168"/>
    </row>
    <row r="65" spans="1:8">
      <c r="A65" s="381"/>
      <c r="B65" s="188" t="s">
        <v>188</v>
      </c>
      <c r="C65" s="375"/>
      <c r="D65" s="385">
        <v>0</v>
      </c>
      <c r="E65" s="119"/>
      <c r="F65" s="373">
        <f t="shared" si="2"/>
        <v>0</v>
      </c>
      <c r="G65" s="311"/>
      <c r="H65" s="168"/>
    </row>
    <row r="66" spans="1:8">
      <c r="A66" s="381"/>
      <c r="B66" s="188" t="s">
        <v>189</v>
      </c>
      <c r="C66" s="375"/>
      <c r="D66" s="385">
        <v>0</v>
      </c>
      <c r="E66" s="119"/>
      <c r="F66" s="373">
        <f t="shared" si="2"/>
        <v>0</v>
      </c>
      <c r="G66" s="311"/>
      <c r="H66" s="168"/>
    </row>
    <row r="67" spans="1:8">
      <c r="A67" s="381"/>
      <c r="B67" s="188" t="s">
        <v>190</v>
      </c>
      <c r="C67" s="375"/>
      <c r="D67" s="385">
        <v>0</v>
      </c>
      <c r="E67" s="119"/>
      <c r="F67" s="373">
        <f t="shared" si="2"/>
        <v>0</v>
      </c>
      <c r="G67" s="311"/>
      <c r="H67" s="168"/>
    </row>
    <row r="68" spans="1:8">
      <c r="A68" s="381"/>
      <c r="B68" s="188" t="s">
        <v>191</v>
      </c>
      <c r="C68" s="375"/>
      <c r="D68" s="385">
        <v>0</v>
      </c>
      <c r="E68" s="119"/>
      <c r="F68" s="373">
        <f t="shared" si="2"/>
        <v>0</v>
      </c>
      <c r="G68" s="311"/>
      <c r="H68" s="168"/>
    </row>
    <row r="69" spans="1:8">
      <c r="A69" s="381"/>
      <c r="B69" s="188" t="s">
        <v>192</v>
      </c>
      <c r="C69" s="375"/>
      <c r="D69" s="385">
        <v>0</v>
      </c>
      <c r="E69" s="119"/>
      <c r="F69" s="373">
        <f t="shared" si="2"/>
        <v>0</v>
      </c>
      <c r="G69" s="311"/>
      <c r="H69" s="168"/>
    </row>
    <row r="70" spans="1:8">
      <c r="A70" s="381"/>
      <c r="B70" s="188" t="s">
        <v>193</v>
      </c>
      <c r="C70" s="375"/>
      <c r="D70" s="385">
        <v>0</v>
      </c>
      <c r="E70" s="119"/>
      <c r="F70" s="373">
        <f t="shared" si="2"/>
        <v>0</v>
      </c>
      <c r="G70" s="311"/>
      <c r="H70" s="168"/>
    </row>
    <row r="71" spans="1:8">
      <c r="A71" s="381"/>
      <c r="B71" s="188" t="s">
        <v>194</v>
      </c>
      <c r="C71" s="375"/>
      <c r="D71" s="385">
        <v>0</v>
      </c>
      <c r="E71" s="119"/>
      <c r="F71" s="373">
        <f t="shared" si="2"/>
        <v>0</v>
      </c>
      <c r="G71" s="311"/>
      <c r="H71" s="168"/>
    </row>
    <row r="72" spans="1:8">
      <c r="A72" s="381"/>
      <c r="B72" s="188" t="s">
        <v>195</v>
      </c>
      <c r="C72" s="375"/>
      <c r="D72" s="385">
        <v>0</v>
      </c>
      <c r="E72" s="119"/>
      <c r="F72" s="373">
        <f t="shared" si="2"/>
        <v>0</v>
      </c>
      <c r="G72" s="311"/>
      <c r="H72" s="168"/>
    </row>
    <row r="73" spans="1:8">
      <c r="A73" s="382"/>
      <c r="B73" s="184" t="s">
        <v>196</v>
      </c>
      <c r="C73" s="377"/>
      <c r="D73" s="367">
        <v>0</v>
      </c>
      <c r="E73" s="119"/>
      <c r="F73" s="373">
        <f t="shared" si="2"/>
        <v>0</v>
      </c>
      <c r="G73" s="311"/>
      <c r="H73" s="168"/>
    </row>
    <row r="74" spans="1:8">
      <c r="A74" s="685" t="s">
        <v>197</v>
      </c>
      <c r="B74" s="686"/>
      <c r="C74" s="378">
        <v>0</v>
      </c>
      <c r="D74" s="379"/>
      <c r="E74" s="369"/>
      <c r="F74" s="370"/>
      <c r="G74" s="311"/>
      <c r="H74" s="168"/>
    </row>
    <row r="75" spans="1:8">
      <c r="A75" s="380"/>
      <c r="B75" s="184" t="s">
        <v>198</v>
      </c>
      <c r="C75" s="372"/>
      <c r="D75" s="367">
        <v>1</v>
      </c>
      <c r="E75" s="119"/>
      <c r="F75" s="373">
        <f>E75*D75*$C$74</f>
        <v>0</v>
      </c>
      <c r="G75" s="311"/>
      <c r="H75" s="168"/>
    </row>
    <row r="76" spans="1:8">
      <c r="A76" s="382"/>
      <c r="B76" s="184" t="s">
        <v>199</v>
      </c>
      <c r="C76" s="377"/>
      <c r="D76" s="367">
        <v>0</v>
      </c>
      <c r="E76" s="119"/>
      <c r="F76" s="373">
        <f>E76*D76*$C$74</f>
        <v>0</v>
      </c>
      <c r="G76" s="311"/>
      <c r="H76" s="168"/>
    </row>
    <row r="77" spans="1:8" ht="24.95" customHeight="1" thickBot="1">
      <c r="A77" s="687" t="s">
        <v>31</v>
      </c>
      <c r="B77" s="688"/>
      <c r="C77" s="312">
        <f>SUM(C44:C76)</f>
        <v>1.05</v>
      </c>
      <c r="D77" s="689" t="s">
        <v>200</v>
      </c>
      <c r="E77" s="690"/>
      <c r="F77" s="313">
        <f>IF((SUM(F45:F76))&lt;=5,ROUND(SUM(F45:F76)*320/5,0),320)</f>
        <v>0</v>
      </c>
      <c r="G77" s="315" t="str">
        <f>IF(F77&lt;295*0.25,"sehr geringer Erfüllungsgrad", IF(F77&lt;295*0.45,"geringer Erfüllungsgrad",IF(F77&lt;295*0.65,"mittlerer Erfüllungsgrad", IF(F77&lt;295*0.85,"hoher Erfüllungsgrad", IF(F77&gt;=295*0.85,"sehr hoher Erfüllungsgrad",)))))</f>
        <v>sehr geringer Erfüllungsgrad</v>
      </c>
      <c r="H77" s="175"/>
    </row>
    <row r="78" spans="1:8">
      <c r="H78" s="168"/>
    </row>
    <row r="79" spans="1:8">
      <c r="H79" s="168"/>
    </row>
    <row r="80" spans="1:8">
      <c r="H80" s="168"/>
    </row>
    <row r="81" spans="1:8" ht="15.75" thickBot="1">
      <c r="H81" s="168"/>
    </row>
    <row r="82" spans="1:8" ht="43.5">
      <c r="A82" s="922" t="s">
        <v>380</v>
      </c>
      <c r="B82" s="923"/>
      <c r="C82" s="924"/>
      <c r="D82" s="364"/>
      <c r="E82" s="365" t="s">
        <v>165</v>
      </c>
      <c r="F82" s="366"/>
      <c r="G82" s="179" t="s">
        <v>166</v>
      </c>
      <c r="H82" s="168"/>
    </row>
    <row r="83" spans="1:8">
      <c r="A83" s="917" t="s">
        <v>167</v>
      </c>
      <c r="B83" s="918"/>
      <c r="C83" s="367">
        <v>1.05</v>
      </c>
      <c r="D83" s="368"/>
      <c r="E83" s="369"/>
      <c r="F83" s="370"/>
      <c r="G83" s="311"/>
      <c r="H83" s="168"/>
    </row>
    <row r="84" spans="1:8">
      <c r="A84" s="371"/>
      <c r="B84" s="170" t="s">
        <v>168</v>
      </c>
      <c r="C84" s="372"/>
      <c r="D84" s="367">
        <v>1</v>
      </c>
      <c r="E84" s="119"/>
      <c r="F84" s="373">
        <f>E84*D84*$C$83</f>
        <v>0</v>
      </c>
      <c r="G84" s="310"/>
      <c r="H84" s="168"/>
    </row>
    <row r="85" spans="1:8">
      <c r="A85" s="374"/>
      <c r="B85" s="170" t="s">
        <v>169</v>
      </c>
      <c r="C85" s="375"/>
      <c r="D85" s="367">
        <v>0</v>
      </c>
      <c r="E85" s="119"/>
      <c r="F85" s="373">
        <f>E85*D85*$C$83</f>
        <v>0</v>
      </c>
      <c r="G85" s="310"/>
      <c r="H85" s="168"/>
    </row>
    <row r="86" spans="1:8">
      <c r="A86" s="374"/>
      <c r="B86" s="170" t="s">
        <v>170</v>
      </c>
      <c r="C86" s="375"/>
      <c r="D86" s="367">
        <v>0</v>
      </c>
      <c r="E86" s="119"/>
      <c r="F86" s="373">
        <f>E86*D86*$C$83</f>
        <v>0</v>
      </c>
      <c r="G86" s="310"/>
      <c r="H86" s="168"/>
    </row>
    <row r="87" spans="1:8">
      <c r="A87" s="376"/>
      <c r="B87" s="170" t="s">
        <v>171</v>
      </c>
      <c r="C87" s="377"/>
      <c r="D87" s="367">
        <v>0</v>
      </c>
      <c r="E87" s="119"/>
      <c r="F87" s="373">
        <f>E87*D87*$C$83</f>
        <v>0</v>
      </c>
      <c r="G87" s="310"/>
      <c r="H87" s="168"/>
    </row>
    <row r="88" spans="1:8">
      <c r="A88" s="685" t="s">
        <v>172</v>
      </c>
      <c r="B88" s="686"/>
      <c r="C88" s="378">
        <v>0</v>
      </c>
      <c r="D88" s="379"/>
      <c r="E88" s="369"/>
      <c r="F88" s="370"/>
      <c r="G88" s="310"/>
      <c r="H88" s="168"/>
    </row>
    <row r="89" spans="1:8">
      <c r="A89" s="380"/>
      <c r="B89" s="184" t="s">
        <v>173</v>
      </c>
      <c r="C89" s="372"/>
      <c r="D89" s="367">
        <v>1</v>
      </c>
      <c r="E89" s="119"/>
      <c r="F89" s="373">
        <f>E89*D89*$C$88</f>
        <v>0</v>
      </c>
      <c r="G89" s="310"/>
      <c r="H89" s="168"/>
    </row>
    <row r="90" spans="1:8">
      <c r="A90" s="381"/>
      <c r="B90" s="184" t="s">
        <v>174</v>
      </c>
      <c r="C90" s="375"/>
      <c r="D90" s="367">
        <v>0</v>
      </c>
      <c r="E90" s="119"/>
      <c r="F90" s="373">
        <f>E90*D90*$C$88</f>
        <v>0</v>
      </c>
      <c r="G90" s="310"/>
      <c r="H90" s="168"/>
    </row>
    <row r="91" spans="1:8">
      <c r="A91" s="381"/>
      <c r="B91" s="184" t="s">
        <v>175</v>
      </c>
      <c r="C91" s="375"/>
      <c r="D91" s="367">
        <v>0</v>
      </c>
      <c r="E91" s="119"/>
      <c r="F91" s="373">
        <f>E91*D91*$C$88</f>
        <v>0</v>
      </c>
      <c r="G91" s="310"/>
      <c r="H91" s="168"/>
    </row>
    <row r="92" spans="1:8">
      <c r="A92" s="381"/>
      <c r="B92" s="184" t="s">
        <v>176</v>
      </c>
      <c r="C92" s="375"/>
      <c r="D92" s="367">
        <v>0</v>
      </c>
      <c r="E92" s="119"/>
      <c r="F92" s="373">
        <f>E92*D92*$C$88</f>
        <v>0</v>
      </c>
      <c r="G92" s="310"/>
      <c r="H92" s="168"/>
    </row>
    <row r="93" spans="1:8">
      <c r="A93" s="382"/>
      <c r="B93" s="184" t="s">
        <v>177</v>
      </c>
      <c r="C93" s="377"/>
      <c r="D93" s="367">
        <v>0</v>
      </c>
      <c r="E93" s="119"/>
      <c r="F93" s="373">
        <f>E93*D93*$C$88</f>
        <v>0</v>
      </c>
      <c r="G93" s="311"/>
      <c r="H93" s="168"/>
    </row>
    <row r="94" spans="1:8">
      <c r="A94" s="685" t="s">
        <v>178</v>
      </c>
      <c r="B94" s="686"/>
      <c r="C94" s="383">
        <v>0</v>
      </c>
      <c r="D94" s="384"/>
      <c r="E94" s="369"/>
      <c r="F94" s="370"/>
      <c r="G94" s="311"/>
      <c r="H94" s="168"/>
    </row>
    <row r="95" spans="1:8">
      <c r="A95" s="380"/>
      <c r="B95" s="184" t="s">
        <v>179</v>
      </c>
      <c r="C95" s="372"/>
      <c r="D95" s="367">
        <v>1</v>
      </c>
      <c r="E95" s="119"/>
      <c r="F95" s="373">
        <f t="shared" ref="F95:F112" si="3">E95*D95*$C$94</f>
        <v>0</v>
      </c>
      <c r="G95" s="311"/>
      <c r="H95" s="168"/>
    </row>
    <row r="96" spans="1:8">
      <c r="A96" s="381"/>
      <c r="B96" s="184" t="s">
        <v>180</v>
      </c>
      <c r="C96" s="375"/>
      <c r="D96" s="367">
        <v>0</v>
      </c>
      <c r="E96" s="119"/>
      <c r="F96" s="373">
        <f t="shared" si="3"/>
        <v>0</v>
      </c>
      <c r="G96" s="311"/>
      <c r="H96" s="168"/>
    </row>
    <row r="97" spans="1:8">
      <c r="A97" s="381"/>
      <c r="B97" s="170" t="s">
        <v>181</v>
      </c>
      <c r="C97" s="375"/>
      <c r="D97" s="385">
        <v>0</v>
      </c>
      <c r="E97" s="119"/>
      <c r="F97" s="373">
        <f t="shared" si="3"/>
        <v>0</v>
      </c>
      <c r="G97" s="311"/>
      <c r="H97" s="168"/>
    </row>
    <row r="98" spans="1:8">
      <c r="A98" s="381"/>
      <c r="B98" s="188" t="s">
        <v>182</v>
      </c>
      <c r="C98" s="375"/>
      <c r="D98" s="385">
        <v>0</v>
      </c>
      <c r="E98" s="119"/>
      <c r="F98" s="373">
        <f t="shared" si="3"/>
        <v>0</v>
      </c>
      <c r="G98" s="311"/>
      <c r="H98" s="168"/>
    </row>
    <row r="99" spans="1:8">
      <c r="A99" s="381"/>
      <c r="B99" s="188" t="s">
        <v>183</v>
      </c>
      <c r="C99" s="375"/>
      <c r="D99" s="385">
        <v>0</v>
      </c>
      <c r="E99" s="119"/>
      <c r="F99" s="373">
        <f t="shared" si="3"/>
        <v>0</v>
      </c>
      <c r="G99" s="311"/>
      <c r="H99" s="168"/>
    </row>
    <row r="100" spans="1:8">
      <c r="A100" s="381"/>
      <c r="B100" s="188" t="s">
        <v>184</v>
      </c>
      <c r="C100" s="375"/>
      <c r="D100" s="385">
        <v>0</v>
      </c>
      <c r="E100" s="119"/>
      <c r="F100" s="373">
        <f t="shared" si="3"/>
        <v>0</v>
      </c>
      <c r="G100" s="311"/>
      <c r="H100" s="168"/>
    </row>
    <row r="101" spans="1:8">
      <c r="A101" s="381"/>
      <c r="B101" s="188" t="s">
        <v>185</v>
      </c>
      <c r="C101" s="375"/>
      <c r="D101" s="385">
        <v>0</v>
      </c>
      <c r="E101" s="119"/>
      <c r="F101" s="373">
        <f t="shared" si="3"/>
        <v>0</v>
      </c>
      <c r="G101" s="311"/>
      <c r="H101" s="168"/>
    </row>
    <row r="102" spans="1:8">
      <c r="A102" s="381"/>
      <c r="B102" s="188" t="s">
        <v>186</v>
      </c>
      <c r="C102" s="375"/>
      <c r="D102" s="385">
        <v>0</v>
      </c>
      <c r="E102" s="119"/>
      <c r="F102" s="373">
        <f t="shared" si="3"/>
        <v>0</v>
      </c>
      <c r="G102" s="311"/>
      <c r="H102" s="168"/>
    </row>
    <row r="103" spans="1:8">
      <c r="A103" s="381"/>
      <c r="B103" s="188" t="s">
        <v>187</v>
      </c>
      <c r="C103" s="375"/>
      <c r="D103" s="385">
        <v>0</v>
      </c>
      <c r="E103" s="119"/>
      <c r="F103" s="373">
        <f t="shared" si="3"/>
        <v>0</v>
      </c>
      <c r="G103" s="311"/>
      <c r="H103" s="168"/>
    </row>
    <row r="104" spans="1:8">
      <c r="A104" s="381"/>
      <c r="B104" s="188" t="s">
        <v>188</v>
      </c>
      <c r="C104" s="375"/>
      <c r="D104" s="385">
        <v>0</v>
      </c>
      <c r="E104" s="119"/>
      <c r="F104" s="373">
        <f t="shared" si="3"/>
        <v>0</v>
      </c>
      <c r="G104" s="311"/>
      <c r="H104" s="168"/>
    </row>
    <row r="105" spans="1:8">
      <c r="A105" s="381"/>
      <c r="B105" s="188" t="s">
        <v>189</v>
      </c>
      <c r="C105" s="375"/>
      <c r="D105" s="385">
        <v>0</v>
      </c>
      <c r="E105" s="119"/>
      <c r="F105" s="373">
        <f t="shared" si="3"/>
        <v>0</v>
      </c>
      <c r="G105" s="311"/>
      <c r="H105" s="168"/>
    </row>
    <row r="106" spans="1:8">
      <c r="A106" s="381"/>
      <c r="B106" s="188" t="s">
        <v>190</v>
      </c>
      <c r="C106" s="375"/>
      <c r="D106" s="385">
        <v>0</v>
      </c>
      <c r="E106" s="119"/>
      <c r="F106" s="373">
        <f t="shared" si="3"/>
        <v>0</v>
      </c>
      <c r="G106" s="311"/>
      <c r="H106" s="168"/>
    </row>
    <row r="107" spans="1:8">
      <c r="A107" s="381"/>
      <c r="B107" s="188" t="s">
        <v>191</v>
      </c>
      <c r="C107" s="375"/>
      <c r="D107" s="385">
        <v>0</v>
      </c>
      <c r="E107" s="119"/>
      <c r="F107" s="373">
        <f t="shared" si="3"/>
        <v>0</v>
      </c>
      <c r="G107" s="311"/>
      <c r="H107" s="168"/>
    </row>
    <row r="108" spans="1:8">
      <c r="A108" s="381"/>
      <c r="B108" s="188" t="s">
        <v>192</v>
      </c>
      <c r="C108" s="375"/>
      <c r="D108" s="385">
        <v>0</v>
      </c>
      <c r="E108" s="119"/>
      <c r="F108" s="373">
        <f t="shared" si="3"/>
        <v>0</v>
      </c>
      <c r="G108" s="311"/>
      <c r="H108" s="168"/>
    </row>
    <row r="109" spans="1:8">
      <c r="A109" s="381"/>
      <c r="B109" s="188" t="s">
        <v>193</v>
      </c>
      <c r="C109" s="375"/>
      <c r="D109" s="385">
        <v>0</v>
      </c>
      <c r="E109" s="119"/>
      <c r="F109" s="373">
        <f t="shared" si="3"/>
        <v>0</v>
      </c>
      <c r="G109" s="311"/>
      <c r="H109" s="168"/>
    </row>
    <row r="110" spans="1:8">
      <c r="A110" s="381"/>
      <c r="B110" s="188" t="s">
        <v>194</v>
      </c>
      <c r="C110" s="375"/>
      <c r="D110" s="385">
        <v>0</v>
      </c>
      <c r="E110" s="119"/>
      <c r="F110" s="373">
        <f t="shared" si="3"/>
        <v>0</v>
      </c>
      <c r="G110" s="311"/>
      <c r="H110" s="168"/>
    </row>
    <row r="111" spans="1:8">
      <c r="A111" s="381"/>
      <c r="B111" s="188" t="s">
        <v>195</v>
      </c>
      <c r="C111" s="375"/>
      <c r="D111" s="385">
        <v>0</v>
      </c>
      <c r="E111" s="119"/>
      <c r="F111" s="373">
        <f t="shared" si="3"/>
        <v>0</v>
      </c>
      <c r="G111" s="311"/>
      <c r="H111" s="168"/>
    </row>
    <row r="112" spans="1:8">
      <c r="A112" s="382"/>
      <c r="B112" s="184" t="s">
        <v>196</v>
      </c>
      <c r="C112" s="377"/>
      <c r="D112" s="367">
        <v>0</v>
      </c>
      <c r="E112" s="119"/>
      <c r="F112" s="373">
        <f t="shared" si="3"/>
        <v>0</v>
      </c>
      <c r="G112" s="311"/>
      <c r="H112" s="168"/>
    </row>
    <row r="113" spans="1:8">
      <c r="A113" s="685" t="s">
        <v>197</v>
      </c>
      <c r="B113" s="686"/>
      <c r="C113" s="378">
        <v>0</v>
      </c>
      <c r="D113" s="379"/>
      <c r="E113" s="369"/>
      <c r="F113" s="370"/>
      <c r="G113" s="311"/>
      <c r="H113" s="168"/>
    </row>
    <row r="114" spans="1:8">
      <c r="A114" s="380"/>
      <c r="B114" s="184" t="s">
        <v>198</v>
      </c>
      <c r="C114" s="372"/>
      <c r="D114" s="367">
        <v>1</v>
      </c>
      <c r="E114" s="119"/>
      <c r="F114" s="373">
        <f>E114*D114*$C$113</f>
        <v>0</v>
      </c>
      <c r="G114" s="311"/>
      <c r="H114" s="168"/>
    </row>
    <row r="115" spans="1:8">
      <c r="A115" s="382"/>
      <c r="B115" s="184" t="s">
        <v>199</v>
      </c>
      <c r="C115" s="377"/>
      <c r="D115" s="367">
        <v>0</v>
      </c>
      <c r="E115" s="119"/>
      <c r="F115" s="373">
        <f>E115*D115*$C$113</f>
        <v>0</v>
      </c>
      <c r="G115" s="311"/>
      <c r="H115" s="168"/>
    </row>
    <row r="116" spans="1:8" ht="24.95" customHeight="1" thickBot="1">
      <c r="A116" s="683" t="s">
        <v>31</v>
      </c>
      <c r="B116" s="684"/>
      <c r="C116" s="312">
        <f>SUM(C83:C115)</f>
        <v>1.05</v>
      </c>
      <c r="D116" s="689" t="s">
        <v>200</v>
      </c>
      <c r="E116" s="690"/>
      <c r="F116" s="313">
        <f>IF((SUM(F84:F115))&lt;=5,ROUND(SUM(F84:F115)*185/5,0),185)</f>
        <v>0</v>
      </c>
      <c r="G116" s="315" t="str">
        <f>IF(F116&lt;160*0.25,"sehr geringer Erfüllungsgrad", IF(F116&lt;160*0.45,"geringer Erfüllungsgrad",IF(F116&lt;160*0.65,"mittlerer Erfüllungsgrad", IF(F116&lt;160*0.85,"hoher Erfüllungsgrad", IF(F116&gt;=160*0.85,"sehr hoher Erfüllungsgrad",)))))</f>
        <v>sehr geringer Erfüllungsgrad</v>
      </c>
      <c r="H116" s="168"/>
    </row>
    <row r="117" spans="1:8" ht="15.75" thickBot="1">
      <c r="H117" s="597"/>
    </row>
    <row r="120" spans="1:8" ht="15.75" thickBot="1"/>
    <row r="121" spans="1:8" ht="43.5">
      <c r="A121" s="922" t="s">
        <v>201</v>
      </c>
      <c r="B121" s="923"/>
      <c r="C121" s="924"/>
      <c r="D121" s="364"/>
      <c r="E121" s="365" t="s">
        <v>165</v>
      </c>
      <c r="F121" s="366"/>
      <c r="G121" s="179" t="s">
        <v>166</v>
      </c>
    </row>
    <row r="122" spans="1:8">
      <c r="A122" s="917" t="s">
        <v>167</v>
      </c>
      <c r="B122" s="918"/>
      <c r="C122" s="367">
        <v>1.05</v>
      </c>
      <c r="D122" s="368"/>
      <c r="E122" s="369"/>
      <c r="F122" s="370"/>
      <c r="G122" s="311"/>
    </row>
    <row r="123" spans="1:8">
      <c r="A123" s="371"/>
      <c r="B123" s="170" t="s">
        <v>168</v>
      </c>
      <c r="C123" s="372"/>
      <c r="D123" s="367">
        <v>1</v>
      </c>
      <c r="E123" s="119"/>
      <c r="F123" s="373">
        <f>E123*D123*$C$122</f>
        <v>0</v>
      </c>
      <c r="G123" s="310"/>
    </row>
    <row r="124" spans="1:8">
      <c r="A124" s="374"/>
      <c r="B124" s="170" t="s">
        <v>169</v>
      </c>
      <c r="C124" s="375"/>
      <c r="D124" s="367">
        <v>0</v>
      </c>
      <c r="E124" s="119"/>
      <c r="F124" s="373">
        <f>E124*D124*$C$122</f>
        <v>0</v>
      </c>
      <c r="G124" s="310"/>
    </row>
    <row r="125" spans="1:8">
      <c r="A125" s="374"/>
      <c r="B125" s="170" t="s">
        <v>170</v>
      </c>
      <c r="C125" s="375"/>
      <c r="D125" s="367">
        <v>0</v>
      </c>
      <c r="E125" s="119"/>
      <c r="F125" s="373">
        <f>E125*D125*$C$122</f>
        <v>0</v>
      </c>
      <c r="G125" s="310"/>
    </row>
    <row r="126" spans="1:8">
      <c r="A126" s="376"/>
      <c r="B126" s="170" t="s">
        <v>171</v>
      </c>
      <c r="C126" s="377"/>
      <c r="D126" s="367">
        <v>0</v>
      </c>
      <c r="E126" s="119"/>
      <c r="F126" s="373">
        <f>E126*D126*$C$122</f>
        <v>0</v>
      </c>
      <c r="G126" s="310"/>
    </row>
    <row r="127" spans="1:8">
      <c r="A127" s="685" t="s">
        <v>172</v>
      </c>
      <c r="B127" s="686"/>
      <c r="C127" s="378">
        <v>0</v>
      </c>
      <c r="D127" s="379"/>
      <c r="E127" s="369"/>
      <c r="F127" s="370"/>
      <c r="G127" s="310"/>
    </row>
    <row r="128" spans="1:8">
      <c r="A128" s="380"/>
      <c r="B128" s="184" t="s">
        <v>173</v>
      </c>
      <c r="C128" s="372"/>
      <c r="D128" s="367">
        <v>1</v>
      </c>
      <c r="E128" s="119"/>
      <c r="F128" s="373">
        <f>E128*D128*$C$127</f>
        <v>0</v>
      </c>
      <c r="G128" s="310"/>
    </row>
    <row r="129" spans="1:7">
      <c r="A129" s="381"/>
      <c r="B129" s="184" t="s">
        <v>174</v>
      </c>
      <c r="C129" s="375"/>
      <c r="D129" s="367">
        <v>0</v>
      </c>
      <c r="E129" s="119"/>
      <c r="F129" s="373">
        <f>E129*D129*$C$127</f>
        <v>0</v>
      </c>
      <c r="G129" s="310"/>
    </row>
    <row r="130" spans="1:7">
      <c r="A130" s="381"/>
      <c r="B130" s="184" t="s">
        <v>175</v>
      </c>
      <c r="C130" s="375"/>
      <c r="D130" s="367">
        <v>0</v>
      </c>
      <c r="E130" s="119"/>
      <c r="F130" s="373">
        <f>E130*D130*$C$127</f>
        <v>0</v>
      </c>
      <c r="G130" s="310"/>
    </row>
    <row r="131" spans="1:7">
      <c r="A131" s="381"/>
      <c r="B131" s="184" t="s">
        <v>176</v>
      </c>
      <c r="C131" s="375"/>
      <c r="D131" s="367">
        <v>0</v>
      </c>
      <c r="E131" s="119"/>
      <c r="F131" s="373">
        <f>E131*D131*$C$127</f>
        <v>0</v>
      </c>
      <c r="G131" s="310"/>
    </row>
    <row r="132" spans="1:7">
      <c r="A132" s="382"/>
      <c r="B132" s="184" t="s">
        <v>177</v>
      </c>
      <c r="C132" s="377"/>
      <c r="D132" s="367">
        <v>0</v>
      </c>
      <c r="E132" s="119"/>
      <c r="F132" s="373">
        <f>E132*D132*$C$127</f>
        <v>0</v>
      </c>
      <c r="G132" s="311"/>
    </row>
    <row r="133" spans="1:7">
      <c r="A133" s="685" t="s">
        <v>178</v>
      </c>
      <c r="B133" s="686"/>
      <c r="C133" s="383">
        <v>0</v>
      </c>
      <c r="D133" s="384"/>
      <c r="E133" s="369"/>
      <c r="F133" s="370"/>
      <c r="G133" s="311"/>
    </row>
    <row r="134" spans="1:7">
      <c r="A134" s="380"/>
      <c r="B134" s="184" t="s">
        <v>179</v>
      </c>
      <c r="C134" s="372"/>
      <c r="D134" s="367">
        <v>1</v>
      </c>
      <c r="E134" s="119"/>
      <c r="F134" s="373">
        <f t="shared" ref="F134:F151" si="4">E134*D134*$C$133</f>
        <v>0</v>
      </c>
      <c r="G134" s="311"/>
    </row>
    <row r="135" spans="1:7">
      <c r="A135" s="381"/>
      <c r="B135" s="184" t="s">
        <v>180</v>
      </c>
      <c r="C135" s="375"/>
      <c r="D135" s="367">
        <v>0</v>
      </c>
      <c r="E135" s="119"/>
      <c r="F135" s="373">
        <f t="shared" si="4"/>
        <v>0</v>
      </c>
      <c r="G135" s="311"/>
    </row>
    <row r="136" spans="1:7">
      <c r="A136" s="381"/>
      <c r="B136" s="170" t="s">
        <v>181</v>
      </c>
      <c r="C136" s="375"/>
      <c r="D136" s="385">
        <v>0</v>
      </c>
      <c r="E136" s="119"/>
      <c r="F136" s="373">
        <f t="shared" si="4"/>
        <v>0</v>
      </c>
      <c r="G136" s="311"/>
    </row>
    <row r="137" spans="1:7">
      <c r="A137" s="381"/>
      <c r="B137" s="188" t="s">
        <v>182</v>
      </c>
      <c r="C137" s="375"/>
      <c r="D137" s="385">
        <v>0</v>
      </c>
      <c r="E137" s="119"/>
      <c r="F137" s="373">
        <f t="shared" si="4"/>
        <v>0</v>
      </c>
      <c r="G137" s="311"/>
    </row>
    <row r="138" spans="1:7">
      <c r="A138" s="381"/>
      <c r="B138" s="188" t="s">
        <v>183</v>
      </c>
      <c r="C138" s="375"/>
      <c r="D138" s="385">
        <v>0</v>
      </c>
      <c r="E138" s="119"/>
      <c r="F138" s="373">
        <f t="shared" si="4"/>
        <v>0</v>
      </c>
      <c r="G138" s="311"/>
    </row>
    <row r="139" spans="1:7">
      <c r="A139" s="381"/>
      <c r="B139" s="188" t="s">
        <v>184</v>
      </c>
      <c r="C139" s="375"/>
      <c r="D139" s="385">
        <v>0</v>
      </c>
      <c r="E139" s="119"/>
      <c r="F139" s="373">
        <f t="shared" si="4"/>
        <v>0</v>
      </c>
      <c r="G139" s="311"/>
    </row>
    <row r="140" spans="1:7">
      <c r="A140" s="381"/>
      <c r="B140" s="188" t="s">
        <v>185</v>
      </c>
      <c r="C140" s="375"/>
      <c r="D140" s="385">
        <v>0</v>
      </c>
      <c r="E140" s="119"/>
      <c r="F140" s="373">
        <f t="shared" si="4"/>
        <v>0</v>
      </c>
      <c r="G140" s="311"/>
    </row>
    <row r="141" spans="1:7">
      <c r="A141" s="381"/>
      <c r="B141" s="188" t="s">
        <v>186</v>
      </c>
      <c r="C141" s="375"/>
      <c r="D141" s="385">
        <v>0</v>
      </c>
      <c r="E141" s="119"/>
      <c r="F141" s="373">
        <f t="shared" si="4"/>
        <v>0</v>
      </c>
      <c r="G141" s="311"/>
    </row>
    <row r="142" spans="1:7">
      <c r="A142" s="381"/>
      <c r="B142" s="188" t="s">
        <v>187</v>
      </c>
      <c r="C142" s="375"/>
      <c r="D142" s="385">
        <v>0</v>
      </c>
      <c r="E142" s="119"/>
      <c r="F142" s="373">
        <f t="shared" si="4"/>
        <v>0</v>
      </c>
      <c r="G142" s="311"/>
    </row>
    <row r="143" spans="1:7">
      <c r="A143" s="381"/>
      <c r="B143" s="188" t="s">
        <v>188</v>
      </c>
      <c r="C143" s="375"/>
      <c r="D143" s="385">
        <v>0</v>
      </c>
      <c r="E143" s="119"/>
      <c r="F143" s="373">
        <f t="shared" si="4"/>
        <v>0</v>
      </c>
      <c r="G143" s="311"/>
    </row>
    <row r="144" spans="1:7">
      <c r="A144" s="381"/>
      <c r="B144" s="188" t="s">
        <v>189</v>
      </c>
      <c r="C144" s="375"/>
      <c r="D144" s="385">
        <v>0</v>
      </c>
      <c r="E144" s="119"/>
      <c r="F144" s="373">
        <f t="shared" si="4"/>
        <v>0</v>
      </c>
      <c r="G144" s="311"/>
    </row>
    <row r="145" spans="1:7">
      <c r="A145" s="381"/>
      <c r="B145" s="188" t="s">
        <v>190</v>
      </c>
      <c r="C145" s="375"/>
      <c r="D145" s="385">
        <v>0</v>
      </c>
      <c r="E145" s="119"/>
      <c r="F145" s="373">
        <f t="shared" si="4"/>
        <v>0</v>
      </c>
      <c r="G145" s="311"/>
    </row>
    <row r="146" spans="1:7">
      <c r="A146" s="381"/>
      <c r="B146" s="188" t="s">
        <v>191</v>
      </c>
      <c r="C146" s="375"/>
      <c r="D146" s="385">
        <v>0</v>
      </c>
      <c r="E146" s="119"/>
      <c r="F146" s="373">
        <f t="shared" si="4"/>
        <v>0</v>
      </c>
      <c r="G146" s="311"/>
    </row>
    <row r="147" spans="1:7">
      <c r="A147" s="381"/>
      <c r="B147" s="188" t="s">
        <v>192</v>
      </c>
      <c r="C147" s="375"/>
      <c r="D147" s="385">
        <v>0</v>
      </c>
      <c r="E147" s="119"/>
      <c r="F147" s="373">
        <f t="shared" si="4"/>
        <v>0</v>
      </c>
      <c r="G147" s="311"/>
    </row>
    <row r="148" spans="1:7">
      <c r="A148" s="381"/>
      <c r="B148" s="188" t="s">
        <v>193</v>
      </c>
      <c r="C148" s="375"/>
      <c r="D148" s="385">
        <v>0</v>
      </c>
      <c r="E148" s="119"/>
      <c r="F148" s="373">
        <f t="shared" si="4"/>
        <v>0</v>
      </c>
      <c r="G148" s="311"/>
    </row>
    <row r="149" spans="1:7">
      <c r="A149" s="381"/>
      <c r="B149" s="188" t="s">
        <v>194</v>
      </c>
      <c r="C149" s="375"/>
      <c r="D149" s="385">
        <v>0</v>
      </c>
      <c r="E149" s="119"/>
      <c r="F149" s="373">
        <f t="shared" si="4"/>
        <v>0</v>
      </c>
      <c r="G149" s="311"/>
    </row>
    <row r="150" spans="1:7">
      <c r="A150" s="381"/>
      <c r="B150" s="188" t="s">
        <v>195</v>
      </c>
      <c r="C150" s="375"/>
      <c r="D150" s="385">
        <v>0</v>
      </c>
      <c r="E150" s="119"/>
      <c r="F150" s="373">
        <f t="shared" si="4"/>
        <v>0</v>
      </c>
      <c r="G150" s="311"/>
    </row>
    <row r="151" spans="1:7">
      <c r="A151" s="382"/>
      <c r="B151" s="184" t="s">
        <v>196</v>
      </c>
      <c r="C151" s="377"/>
      <c r="D151" s="367">
        <v>0</v>
      </c>
      <c r="E151" s="119"/>
      <c r="F151" s="373">
        <f t="shared" si="4"/>
        <v>0</v>
      </c>
      <c r="G151" s="311"/>
    </row>
    <row r="152" spans="1:7">
      <c r="A152" s="685" t="s">
        <v>197</v>
      </c>
      <c r="B152" s="686"/>
      <c r="C152" s="378">
        <v>0</v>
      </c>
      <c r="D152" s="379"/>
      <c r="E152" s="369"/>
      <c r="F152" s="370"/>
      <c r="G152" s="311"/>
    </row>
    <row r="153" spans="1:7">
      <c r="A153" s="380"/>
      <c r="B153" s="184" t="s">
        <v>198</v>
      </c>
      <c r="C153" s="372"/>
      <c r="D153" s="367">
        <v>1</v>
      </c>
      <c r="E153" s="119"/>
      <c r="F153" s="373">
        <f>E153*D153*$C$152</f>
        <v>0</v>
      </c>
      <c r="G153" s="311"/>
    </row>
    <row r="154" spans="1:7">
      <c r="A154" s="382"/>
      <c r="B154" s="184" t="s">
        <v>199</v>
      </c>
      <c r="C154" s="377"/>
      <c r="D154" s="367">
        <v>0</v>
      </c>
      <c r="E154" s="119"/>
      <c r="F154" s="373">
        <f>E154*D154*$C$152</f>
        <v>0</v>
      </c>
      <c r="G154" s="311"/>
    </row>
    <row r="155" spans="1:7" ht="15.75" thickBot="1">
      <c r="A155" s="683" t="s">
        <v>31</v>
      </c>
      <c r="B155" s="684"/>
      <c r="C155" s="312">
        <f>SUM(C122:C154)</f>
        <v>1.05</v>
      </c>
      <c r="D155" s="689" t="s">
        <v>200</v>
      </c>
      <c r="E155" s="690"/>
      <c r="F155" s="313">
        <f>IF((SUM(F123:F154))&lt;=5,ROUND(SUM(F123:F154)*140/5,0),140)</f>
        <v>0</v>
      </c>
      <c r="G155" s="315" t="str">
        <f>IF(F155&lt;110*0.25,"sehr geringer Erfüllungsgrad", IF(F155&lt;110*0.45,"geringer Erfüllungsgrad",IF(F155&lt;110*0.65,"mittlerer Erfüllungsgrad", IF(F155&lt;110*0.85,"hoher Erfüllungsgrad", IF(F155&gt;=110*0.85,"sehr hoher Erfüllungsgrad",)))))</f>
        <v>sehr geringer Erfüllungsgrad</v>
      </c>
    </row>
  </sheetData>
  <sheetProtection selectLockedCells="1"/>
  <mergeCells count="7">
    <mergeCell ref="A122:B122"/>
    <mergeCell ref="A4:C4"/>
    <mergeCell ref="A1:C1"/>
    <mergeCell ref="A43:C43"/>
    <mergeCell ref="A82:C82"/>
    <mergeCell ref="A121:C121"/>
    <mergeCell ref="A83:B83"/>
  </mergeCells>
  <printOptions horizontalCentered="1"/>
  <pageMargins left="0.59055118110236227" right="0.59055118110236227" top="0.59055118110236227" bottom="0.59055118110236227" header="0.31496062992125984" footer="0.31496062992125984"/>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topLeftCell="A16" zoomScale="85" zoomScaleNormal="85" workbookViewId="0">
      <selection activeCell="K36" sqref="K35:K36"/>
    </sheetView>
  </sheetViews>
  <sheetFormatPr baseColWidth="10" defaultColWidth="11.42578125" defaultRowHeight="14.25"/>
  <cols>
    <col min="1" max="1" width="55.85546875" style="570" customWidth="1"/>
    <col min="2" max="2" width="24" style="570" customWidth="1"/>
    <col min="3" max="3" width="13.85546875" style="570" customWidth="1"/>
    <col min="4" max="4" width="30.7109375" style="570" customWidth="1"/>
    <col min="5" max="5" width="5.7109375" style="570" customWidth="1"/>
    <col min="6" max="6" width="32.7109375" style="570" customWidth="1"/>
    <col min="7" max="7" width="35.42578125" style="570" customWidth="1"/>
    <col min="8" max="8" width="20.7109375" style="570" customWidth="1"/>
    <col min="9" max="9" width="13" style="570" customWidth="1"/>
    <col min="10" max="10" width="13.28515625" style="570" customWidth="1"/>
    <col min="11" max="11" width="30.7109375" style="570" customWidth="1"/>
    <col min="12" max="12" width="11.42578125" style="570" customWidth="1"/>
    <col min="13" max="16384" width="11.42578125" style="570"/>
  </cols>
  <sheetData>
    <row r="1" spans="1:9" s="515" customFormat="1" ht="60.75" customHeight="1" thickBot="1">
      <c r="A1" s="925" t="s">
        <v>202</v>
      </c>
      <c r="B1" s="925"/>
      <c r="C1" s="925"/>
      <c r="D1" s="925"/>
      <c r="F1" s="926" t="s">
        <v>28</v>
      </c>
      <c r="G1" s="927"/>
      <c r="H1" s="928"/>
    </row>
    <row r="2" spans="1:9" s="515" customFormat="1" ht="7.5" customHeight="1" thickBot="1">
      <c r="A2" s="429"/>
      <c r="B2" s="221"/>
      <c r="C2" s="221"/>
      <c r="D2" s="516"/>
    </row>
    <row r="3" spans="1:9" s="515" customFormat="1" ht="24.95" customHeight="1">
      <c r="A3" s="517" t="str">
        <f>"Eingabefeld OIB RL-6 2019"</f>
        <v>Eingabefeld OIB RL-6 2019</v>
      </c>
      <c r="B3" s="518" t="s">
        <v>40</v>
      </c>
      <c r="C3" s="519"/>
      <c r="D3" s="520" t="s">
        <v>24</v>
      </c>
      <c r="F3" s="929" t="s">
        <v>203</v>
      </c>
      <c r="G3" s="930"/>
      <c r="H3" s="931"/>
      <c r="I3" s="521" t="s">
        <v>24</v>
      </c>
    </row>
    <row r="4" spans="1:9" s="526" customFormat="1" ht="24.95" customHeight="1">
      <c r="A4" s="522" t="s">
        <v>204</v>
      </c>
      <c r="B4" s="523"/>
      <c r="C4" s="524" t="s">
        <v>205</v>
      </c>
      <c r="D4" s="525"/>
      <c r="F4" s="522" t="s">
        <v>204</v>
      </c>
      <c r="G4" s="527">
        <f>IF(AND(ISNUMBER(B4)),B4,IF(AND(ISBLANK(B4)),0,B4))</f>
        <v>0</v>
      </c>
      <c r="H4" s="524" t="s">
        <v>205</v>
      </c>
      <c r="I4" s="528"/>
    </row>
    <row r="5" spans="1:9" s="526" customFormat="1" ht="24.95" customHeight="1">
      <c r="A5" s="522" t="s">
        <v>206</v>
      </c>
      <c r="B5" s="523"/>
      <c r="C5" s="524" t="s">
        <v>207</v>
      </c>
      <c r="D5" s="525"/>
      <c r="F5" s="522" t="s">
        <v>206</v>
      </c>
      <c r="G5" s="527" t="str">
        <f>IF(AND(ISNUMBER(B5)),B5,"")</f>
        <v/>
      </c>
      <c r="H5" s="524" t="s">
        <v>207</v>
      </c>
      <c r="I5" s="528"/>
    </row>
    <row r="6" spans="1:9" s="526" customFormat="1" ht="24.95" customHeight="1">
      <c r="A6" s="522" t="s">
        <v>208</v>
      </c>
      <c r="B6" s="523"/>
      <c r="C6" s="524" t="s">
        <v>209</v>
      </c>
      <c r="D6" s="525"/>
      <c r="F6" s="522" t="s">
        <v>208</v>
      </c>
      <c r="G6" s="527" t="str">
        <f t="shared" ref="G6:G16" si="0">IF(AND(ISNUMBER(B6)),B6,"")</f>
        <v/>
      </c>
      <c r="H6" s="524" t="s">
        <v>209</v>
      </c>
      <c r="I6" s="528"/>
    </row>
    <row r="7" spans="1:9" s="526" customFormat="1" ht="24.95" customHeight="1">
      <c r="A7" s="522" t="s">
        <v>210</v>
      </c>
      <c r="B7" s="523"/>
      <c r="C7" s="524"/>
      <c r="D7" s="525"/>
      <c r="F7" s="529" t="s">
        <v>210</v>
      </c>
      <c r="G7" s="527" t="str">
        <f t="shared" si="0"/>
        <v/>
      </c>
      <c r="H7" s="524"/>
      <c r="I7" s="528"/>
    </row>
    <row r="8" spans="1:9" s="526" customFormat="1" ht="24.95" customHeight="1">
      <c r="A8" s="522" t="s">
        <v>211</v>
      </c>
      <c r="B8" s="523"/>
      <c r="C8" s="524" t="s">
        <v>212</v>
      </c>
      <c r="D8" s="525"/>
      <c r="F8" s="522" t="s">
        <v>211</v>
      </c>
      <c r="G8" s="527" t="str">
        <f t="shared" si="0"/>
        <v/>
      </c>
      <c r="H8" s="524" t="s">
        <v>212</v>
      </c>
      <c r="I8" s="528"/>
    </row>
    <row r="9" spans="1:9" s="526" customFormat="1" ht="24.95" customHeight="1">
      <c r="A9" s="522" t="s">
        <v>213</v>
      </c>
      <c r="B9" s="523"/>
      <c r="C9" s="524" t="s">
        <v>212</v>
      </c>
      <c r="D9" s="525"/>
      <c r="F9" s="522" t="s">
        <v>213</v>
      </c>
      <c r="G9" s="527" t="str">
        <f>IF(AND(ISNUMBER(B9),(B9&gt;0)),B9,"")</f>
        <v/>
      </c>
      <c r="H9" s="524" t="s">
        <v>212</v>
      </c>
      <c r="I9" s="528"/>
    </row>
    <row r="10" spans="1:9" s="526" customFormat="1" ht="24.95" customHeight="1">
      <c r="A10" s="529" t="s">
        <v>214</v>
      </c>
      <c r="B10" s="523"/>
      <c r="C10" s="524" t="s">
        <v>215</v>
      </c>
      <c r="D10" s="525"/>
      <c r="F10" s="522" t="s">
        <v>214</v>
      </c>
      <c r="G10" s="527" t="str">
        <f t="shared" si="0"/>
        <v/>
      </c>
      <c r="H10" s="524" t="s">
        <v>215</v>
      </c>
      <c r="I10" s="528"/>
    </row>
    <row r="11" spans="1:9" s="526" customFormat="1" ht="24.95" customHeight="1">
      <c r="A11" s="522" t="s">
        <v>216</v>
      </c>
      <c r="B11" s="523"/>
      <c r="C11" s="524" t="s">
        <v>209</v>
      </c>
      <c r="D11" s="577"/>
      <c r="F11" s="522" t="s">
        <v>216</v>
      </c>
      <c r="G11" s="527" t="str">
        <f t="shared" si="0"/>
        <v/>
      </c>
      <c r="H11" s="524" t="s">
        <v>209</v>
      </c>
      <c r="I11" s="530"/>
    </row>
    <row r="12" spans="1:9" s="526" customFormat="1" ht="24.95" customHeight="1">
      <c r="A12" s="520" t="s">
        <v>217</v>
      </c>
      <c r="B12" s="523"/>
      <c r="C12" s="531" t="s">
        <v>209</v>
      </c>
      <c r="D12" s="525"/>
      <c r="F12" s="520" t="s">
        <v>217</v>
      </c>
      <c r="G12" s="527" t="str">
        <f>IF(AND(ISNUMBER(B12)),B12,"")</f>
        <v/>
      </c>
      <c r="H12" s="531" t="s">
        <v>209</v>
      </c>
      <c r="I12" s="532"/>
    </row>
    <row r="13" spans="1:9" s="526" customFormat="1" ht="24.95" customHeight="1">
      <c r="A13" s="520" t="s">
        <v>218</v>
      </c>
      <c r="B13" s="523"/>
      <c r="C13" s="531" t="s">
        <v>209</v>
      </c>
      <c r="D13" s="525"/>
      <c r="F13" s="520" t="s">
        <v>218</v>
      </c>
      <c r="G13" s="527" t="str">
        <f>IF(AND(ISNUMBER(B13)),B13,"")</f>
        <v/>
      </c>
      <c r="H13" s="531" t="s">
        <v>209</v>
      </c>
      <c r="I13" s="528"/>
    </row>
    <row r="14" spans="1:9" s="526" customFormat="1" ht="24.95" customHeight="1">
      <c r="A14" s="520" t="s">
        <v>219</v>
      </c>
      <c r="B14" s="523"/>
      <c r="C14" s="531" t="s">
        <v>209</v>
      </c>
      <c r="D14" s="525"/>
      <c r="F14" s="520" t="s">
        <v>219</v>
      </c>
      <c r="G14" s="527" t="str">
        <f t="shared" si="0"/>
        <v/>
      </c>
      <c r="H14" s="531" t="s">
        <v>209</v>
      </c>
      <c r="I14" s="528"/>
    </row>
    <row r="15" spans="1:9" s="526" customFormat="1" ht="24.95" customHeight="1">
      <c r="A15" s="533" t="s">
        <v>220</v>
      </c>
      <c r="B15" s="523"/>
      <c r="C15" s="534" t="s">
        <v>209</v>
      </c>
      <c r="D15" s="525"/>
      <c r="F15" s="533" t="s">
        <v>220</v>
      </c>
      <c r="G15" s="527">
        <f>IF(AND(ISNUMBER(B15),(B15&gt;=0)),B15,0)</f>
        <v>0</v>
      </c>
      <c r="H15" s="534" t="s">
        <v>209</v>
      </c>
      <c r="I15" s="528"/>
    </row>
    <row r="16" spans="1:9" s="526" customFormat="1" ht="24.95" customHeight="1">
      <c r="A16" s="522" t="s">
        <v>221</v>
      </c>
      <c r="B16" s="523"/>
      <c r="C16" s="535" t="s">
        <v>222</v>
      </c>
      <c r="D16" s="525"/>
      <c r="F16" s="522" t="s">
        <v>223</v>
      </c>
      <c r="G16" s="527" t="str">
        <f t="shared" si="0"/>
        <v/>
      </c>
      <c r="H16" s="535" t="s">
        <v>224</v>
      </c>
      <c r="I16" s="528"/>
    </row>
    <row r="17" spans="1:9" s="526" customFormat="1" ht="24.95" customHeight="1" thickBot="1">
      <c r="A17" s="522" t="s">
        <v>225</v>
      </c>
      <c r="B17" s="523"/>
      <c r="C17" s="536" t="s">
        <v>209</v>
      </c>
      <c r="D17" s="537"/>
      <c r="F17" s="538" t="s">
        <v>225</v>
      </c>
      <c r="G17" s="539">
        <f>IF(AND(ISNUMBER(B17),(B17&gt;=0)),B17,0)</f>
        <v>0</v>
      </c>
      <c r="H17" s="540" t="s">
        <v>209</v>
      </c>
      <c r="I17" s="541"/>
    </row>
    <row r="18" spans="1:9" s="526" customFormat="1" ht="12.75">
      <c r="A18" s="529"/>
      <c r="B18" s="542"/>
      <c r="C18" s="535"/>
      <c r="D18" s="543"/>
    </row>
    <row r="19" spans="1:9" s="526" customFormat="1" ht="12.75">
      <c r="A19" s="529"/>
      <c r="B19" s="542"/>
      <c r="C19" s="544"/>
      <c r="D19" s="545"/>
    </row>
    <row r="20" spans="1:9" s="515" customFormat="1" ht="14.25" customHeight="1" thickBot="1">
      <c r="A20" s="546"/>
      <c r="C20" s="547"/>
    </row>
    <row r="21" spans="1:9" s="515" customFormat="1" ht="24.75" customHeight="1">
      <c r="A21" s="548" t="s">
        <v>226</v>
      </c>
      <c r="B21" s="549" t="s">
        <v>40</v>
      </c>
      <c r="C21" s="550"/>
      <c r="F21" s="932" t="s">
        <v>226</v>
      </c>
      <c r="G21" s="933"/>
      <c r="H21" s="934"/>
    </row>
    <row r="22" spans="1:9" s="515" customFormat="1" ht="24.75" customHeight="1">
      <c r="A22" s="520" t="s">
        <v>227</v>
      </c>
      <c r="B22" s="551" t="str">
        <f t="shared" ref="B22:B29" si="1">G22</f>
        <v/>
      </c>
      <c r="C22" s="531"/>
      <c r="F22" s="520" t="s">
        <v>227</v>
      </c>
      <c r="G22" s="552" t="str">
        <f>IF(AND(ISNUMBER(G5),ISNUMBER(G7),ISNUMBER(G8),ISNUMBER(G9),ISNUMBER(G10)),ROUND(300*G10/((G8+G9)*(2+G5/(G8+G9))),1),G7)</f>
        <v/>
      </c>
      <c r="H22" s="531"/>
      <c r="I22" s="553"/>
    </row>
    <row r="23" spans="1:9" s="526" customFormat="1" ht="24.95" customHeight="1">
      <c r="A23" s="520" t="s">
        <v>228</v>
      </c>
      <c r="B23" s="551" t="str">
        <f>IF(G23&gt;0,G23,0)</f>
        <v/>
      </c>
      <c r="C23" s="531" t="s">
        <v>209</v>
      </c>
      <c r="F23" s="520" t="s">
        <v>228</v>
      </c>
      <c r="G23" s="554" t="str">
        <f>IF(AND(ISNUMBER(G12),ISNUMBER(G13),ISNUMBER(G14),ISNUMBER(G15),ISNUMBER(G17)),
IF(G15&lt;&gt;0,
G12-(G13*1.63)-(G14-G15)*(1.63)-(G17*1),
G12-(G13*1.63)-(0-G15)*(1.63)-(G17*1)),G12)</f>
        <v/>
      </c>
      <c r="H23" s="531" t="s">
        <v>209</v>
      </c>
      <c r="I23" s="553"/>
    </row>
    <row r="24" spans="1:9" s="526" customFormat="1" ht="24.95" customHeight="1" thickBot="1">
      <c r="A24" s="520" t="s">
        <v>229</v>
      </c>
      <c r="B24" s="551" t="str">
        <f>IF(G24&gt;0,G24,0)</f>
        <v/>
      </c>
      <c r="C24" s="536" t="s">
        <v>222</v>
      </c>
      <c r="F24" s="520" t="s">
        <v>230</v>
      </c>
      <c r="G24" s="554" t="str">
        <f>IF(AND(ISNUMBER(G13),ISNUMBER(G14),ISNUMBER(G15),ISNUMBER(G16),ISNUMBER(G17)),
IF(G15&lt;&gt;0,
G16-G13*0.227-(G14-G15)*0.227-(G17*0.227),
G16-G13*0.227-(0-G15)*0.227-(G17*0.227)),G16)</f>
        <v/>
      </c>
      <c r="H24" s="524" t="s">
        <v>224</v>
      </c>
      <c r="I24" s="553"/>
    </row>
    <row r="25" spans="1:9" s="553" customFormat="1" ht="24.95" customHeight="1" thickBot="1">
      <c r="A25" s="555" t="s">
        <v>231</v>
      </c>
      <c r="B25" s="556" t="str">
        <f t="shared" si="1"/>
        <v/>
      </c>
      <c r="C25" s="557"/>
      <c r="D25" s="558"/>
      <c r="F25" s="559" t="s">
        <v>231</v>
      </c>
      <c r="G25" s="560" t="str">
        <f>IF(ISNUMBER(G6),IF(G6&lt;=G35,H35,IF(AND(G6&lt;=G34,G6&gt;G35),ROUND(H35+(H34-H35)/(G34-G35)*(G6-G35),H34),"Mindestanforderung nicht erfüllt")),"")</f>
        <v/>
      </c>
      <c r="H25" s="561"/>
    </row>
    <row r="26" spans="1:9" s="553" customFormat="1" ht="24.95" customHeight="1" thickBot="1">
      <c r="A26" s="562" t="s">
        <v>232</v>
      </c>
      <c r="B26" s="563" t="str">
        <f t="shared" si="1"/>
        <v/>
      </c>
      <c r="C26" s="564"/>
      <c r="F26" s="565" t="s">
        <v>232</v>
      </c>
      <c r="G26" s="560" t="str">
        <f>IF(ISNUMBER(G22),IF(G22&lt;=G37,H37,IF(AND(G22&lt;=G36,G22&gt;G37),ROUND(H37+(H36-H37)/(G36-G37)*(G22-G37),H36),"Mindestanforderung nicht erfüllt")),"")</f>
        <v/>
      </c>
      <c r="H26" s="566"/>
    </row>
    <row r="27" spans="1:9" s="553" customFormat="1" ht="24.95" customHeight="1" thickBot="1">
      <c r="A27" s="555" t="s">
        <v>233</v>
      </c>
      <c r="B27" s="567" t="str">
        <f t="shared" si="1"/>
        <v/>
      </c>
      <c r="C27" s="564"/>
      <c r="F27" s="559" t="s">
        <v>233</v>
      </c>
      <c r="G27" s="560" t="str">
        <f>IF(ISNUMBER(G11),IF(G11&lt;=G39,H39,IF(AND(G11&lt;=G38,G11&gt;G39),ROUND(H39+(H38-H39)/(G38-G39)*(G11-G39),H38),"Mindestanforderung nicht erfüllt")),"")</f>
        <v/>
      </c>
      <c r="H27" s="566"/>
    </row>
    <row r="28" spans="1:9" ht="24.95" customHeight="1" thickBot="1">
      <c r="A28" s="562" t="s">
        <v>234</v>
      </c>
      <c r="B28" s="563" t="str">
        <f t="shared" si="1"/>
        <v/>
      </c>
      <c r="C28" s="568"/>
      <c r="D28" s="569"/>
      <c r="F28" s="565" t="s">
        <v>234</v>
      </c>
      <c r="G28" s="560" t="str">
        <f>IF(ISNUMBER(G23),IF(G23&lt;=G41,H41,IF(AND(G23&lt;=G40,G23&gt;G41),ROUND(H41+(H40-H41)/(G40-G41)*(G23-G41),H40),"Mindestanforderung nicht erfüllt")),"")</f>
        <v/>
      </c>
      <c r="H28" s="544"/>
    </row>
    <row r="29" spans="1:9" ht="24.95" customHeight="1" thickBot="1">
      <c r="A29" s="571" t="s">
        <v>235</v>
      </c>
      <c r="B29" s="556" t="str">
        <f t="shared" si="1"/>
        <v/>
      </c>
      <c r="C29" s="572"/>
      <c r="F29" s="562" t="s">
        <v>236</v>
      </c>
      <c r="G29" s="560" t="str">
        <f>IF(ISNUMBER(G24),IF(G24&lt;=G43,H43,IF(AND(G24&lt;=G42,G24&gt;G43),ROUND(H43+(H42-H43)/(G42-G43)*(G24-G43),H42),"Mindestanforderung nicht erfüllt")),"")</f>
        <v/>
      </c>
      <c r="H29" s="572"/>
    </row>
    <row r="31" spans="1:9">
      <c r="B31" s="573"/>
    </row>
    <row r="32" spans="1:9" ht="15" thickBot="1"/>
    <row r="33" spans="6:8">
      <c r="F33" s="643"/>
      <c r="G33" s="644" t="s">
        <v>237</v>
      </c>
      <c r="H33" s="645" t="s">
        <v>40</v>
      </c>
    </row>
    <row r="34" spans="6:8" ht="15.75">
      <c r="F34" s="646" t="s">
        <v>238</v>
      </c>
      <c r="G34" s="647">
        <v>52</v>
      </c>
      <c r="H34" s="648">
        <v>0</v>
      </c>
    </row>
    <row r="35" spans="6:8" ht="15.75">
      <c r="F35" s="646" t="s">
        <v>239</v>
      </c>
      <c r="G35" s="647">
        <v>15</v>
      </c>
      <c r="H35" s="648">
        <v>40</v>
      </c>
    </row>
    <row r="36" spans="6:8" ht="15.75">
      <c r="F36" s="646" t="s">
        <v>240</v>
      </c>
      <c r="G36" s="647">
        <v>24</v>
      </c>
      <c r="H36" s="648">
        <v>0</v>
      </c>
    </row>
    <row r="37" spans="6:8" ht="15.75">
      <c r="F37" s="646" t="s">
        <v>241</v>
      </c>
      <c r="G37" s="647">
        <v>15</v>
      </c>
      <c r="H37" s="648">
        <v>50</v>
      </c>
    </row>
    <row r="38" spans="6:8" ht="15.75">
      <c r="F38" s="646" t="s">
        <v>242</v>
      </c>
      <c r="G38" s="647">
        <v>30</v>
      </c>
      <c r="H38" s="648">
        <v>0</v>
      </c>
    </row>
    <row r="39" spans="6:8" ht="15.75">
      <c r="F39" s="646" t="s">
        <v>243</v>
      </c>
      <c r="G39" s="647">
        <v>12</v>
      </c>
      <c r="H39" s="648">
        <v>45</v>
      </c>
    </row>
    <row r="40" spans="6:8" ht="15.75">
      <c r="F40" s="646" t="s">
        <v>244</v>
      </c>
      <c r="G40" s="647">
        <v>112</v>
      </c>
      <c r="H40" s="648">
        <v>0</v>
      </c>
    </row>
    <row r="41" spans="6:8" ht="15.75">
      <c r="F41" s="646" t="s">
        <v>245</v>
      </c>
      <c r="G41" s="647">
        <v>43</v>
      </c>
      <c r="H41" s="648">
        <v>120</v>
      </c>
    </row>
    <row r="42" spans="6:8" ht="15.75">
      <c r="F42" s="646" t="s">
        <v>246</v>
      </c>
      <c r="G42" s="647">
        <v>18</v>
      </c>
      <c r="H42" s="648">
        <v>0</v>
      </c>
    </row>
    <row r="43" spans="6:8" ht="16.5" thickBot="1">
      <c r="F43" s="574" t="s">
        <v>247</v>
      </c>
      <c r="G43" s="575">
        <v>0</v>
      </c>
      <c r="H43" s="576">
        <v>135</v>
      </c>
    </row>
  </sheetData>
  <sheetProtection selectLockedCells="1"/>
  <mergeCells count="4">
    <mergeCell ref="A1:D1"/>
    <mergeCell ref="F1:H1"/>
    <mergeCell ref="F3:H3"/>
    <mergeCell ref="F21:H21"/>
  </mergeCells>
  <dataValidations count="1">
    <dataValidation allowBlank="1" showInputMessage="1" showErrorMessage="1" prompt="Angabe entnehmen aus Ausdruck OIB- Energieausweis (Seite2)" sqref="B4:B17"/>
  </dataValidations>
  <printOptions horizontalCentered="1"/>
  <pageMargins left="0.59055118110236227" right="0.59055118110236227" top="0.59055118110236227" bottom="0.59055118110236227" header="0.31496062992125984" footer="0.31496062992125984"/>
  <pageSetup paperSize="9" scale="4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22D5A955D597D478B3F535215E7E5D6" ma:contentTypeVersion="15" ma:contentTypeDescription="Ein neues Dokument erstellen." ma:contentTypeScope="" ma:versionID="0d9912d526b2578a11fab8d0df0cf34c">
  <xsd:schema xmlns:xsd="http://www.w3.org/2001/XMLSchema" xmlns:xs="http://www.w3.org/2001/XMLSchema" xmlns:p="http://schemas.microsoft.com/office/2006/metadata/properties" xmlns:ns2="a6081b03-2a40-4a72-92f3-e27db004df69" xmlns:ns3="cf30bd56-e01e-4391-9850-ada34396b374" targetNamespace="http://schemas.microsoft.com/office/2006/metadata/properties" ma:root="true" ma:fieldsID="f13a24090bbaa798579c5b163c9250ae" ns2:_="" ns3:_="">
    <xsd:import namespace="a6081b03-2a40-4a72-92f3-e27db004df69"/>
    <xsd:import namespace="cf30bd56-e01e-4391-9850-ada34396b37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081b03-2a40-4a72-92f3-e27db004df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231abc8-4556-4484-b6ee-5cd59887ff8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30bd56-e01e-4391-9850-ada34396b37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98b530e-a13c-45a9-be77-cd84a30631c3}" ma:internalName="TaxCatchAll" ma:showField="CatchAllData" ma:web="cf30bd56-e01e-4391-9850-ada34396b37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f30bd56-e01e-4391-9850-ada34396b374" xsi:nil="true"/>
    <lcf76f155ced4ddcb4097134ff3c332f xmlns="a6081b03-2a40-4a72-92f3-e27db004df6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55F752-E41A-4C15-ADA1-DC662F650882}">
  <ds:schemaRefs>
    <ds:schemaRef ds:uri="http://schemas.microsoft.com/sharepoint/v3/contenttype/forms"/>
  </ds:schemaRefs>
</ds:datastoreItem>
</file>

<file path=customXml/itemProps2.xml><?xml version="1.0" encoding="utf-8"?>
<ds:datastoreItem xmlns:ds="http://schemas.openxmlformats.org/officeDocument/2006/customXml" ds:itemID="{085AE617-1BE1-4514-BFFA-CEE226EF90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081b03-2a40-4a72-92f3-e27db004df69"/>
    <ds:schemaRef ds:uri="cf30bd56-e01e-4391-9850-ada34396b3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ED037E-3BF2-4904-8BE2-B2D4F6C66D2F}">
  <ds:schemaRefs>
    <ds:schemaRef ds:uri="http://purl.org/dc/terms/"/>
    <ds:schemaRef ds:uri="http://schemas.microsoft.com/office/infopath/2007/PartnerControls"/>
    <ds:schemaRef ds:uri="http://schemas.microsoft.com/office/2006/documentManagement/types"/>
    <ds:schemaRef ds:uri="cf30bd56-e01e-4391-9850-ada34396b374"/>
    <ds:schemaRef ds:uri="http://purl.org/dc/elements/1.1/"/>
    <ds:schemaRef ds:uri="http://schemas.microsoft.com/office/2006/metadata/properties"/>
    <ds:schemaRef ds:uri="a6081b03-2a40-4a72-92f3-e27db004df69"/>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vt:i4>
      </vt:variant>
    </vt:vector>
  </HeadingPairs>
  <TitlesOfParts>
    <vt:vector size="21" baseType="lpstr">
      <vt:lpstr>Deckblatt</vt:lpstr>
      <vt:lpstr>Punktevergabe</vt:lpstr>
      <vt:lpstr>A 1.3</vt:lpstr>
      <vt:lpstr>A 1.4</vt:lpstr>
      <vt:lpstr>A 1.5</vt:lpstr>
      <vt:lpstr>A 1.6</vt:lpstr>
      <vt:lpstr>A 1.7</vt:lpstr>
      <vt:lpstr>Komm. Beurteilung</vt:lpstr>
      <vt:lpstr>B1b </vt:lpstr>
      <vt:lpstr>B1b Graphik</vt:lpstr>
      <vt:lpstr>B 1.4 </vt:lpstr>
      <vt:lpstr>C 1.1</vt:lpstr>
      <vt:lpstr>C 1.2</vt:lpstr>
      <vt:lpstr>C 2.1</vt:lpstr>
      <vt:lpstr>D 1.1</vt:lpstr>
      <vt:lpstr>D 1.2</vt:lpstr>
      <vt:lpstr>D 1.3</vt:lpstr>
      <vt:lpstr>D 2.1</vt:lpstr>
      <vt:lpstr>D 2.2</vt:lpstr>
      <vt:lpstr>'D 1.2'!Druckbereich</vt:lpstr>
      <vt:lpstr>'Komm. Beurteilung'!Druckbereich</vt:lpstr>
    </vt:vector>
  </TitlesOfParts>
  <Manager/>
  <Company>IBO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Rechenknecht</dc:creator>
  <cp:keywords/>
  <dc:description/>
  <cp:lastModifiedBy>Simon Nussbaumer</cp:lastModifiedBy>
  <cp:revision/>
  <dcterms:created xsi:type="dcterms:W3CDTF">2005-07-27T13:49:14Z</dcterms:created>
  <dcterms:modified xsi:type="dcterms:W3CDTF">2025-02-06T12:42:13Z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0x010100622D5A955D597D478B3F535215E7E5D6</vt:lpwstr>
  </property>
  <property fmtid="{D5CDD505-2E9C-101B-9397-08002B2CF9AE}" pid="3" name="MediaServiceImageTags">
    <vt:lpwstr/>
  </property>
</Properties>
</file>